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12945" windowWidth="9060" windowHeight="1185" tabRatio="904" activeTab="1"/>
  </bookViews>
  <sheets>
    <sheet name="5. Загальний опис робіт" sheetId="1" r:id="rId1"/>
    <sheet name="6. Проведення закупівлі 186405" sheetId="2" r:id="rId2"/>
  </sheets>
  <definedNames>
    <definedName name="_xlnm.Print_Area" localSheetId="1">'6. Проведення закупівлі 186405'!$A$1:$W$204</definedName>
  </definedNames>
  <calcPr fullCalcOnLoad="1"/>
</workbook>
</file>

<file path=xl/sharedStrings.xml><?xml version="1.0" encoding="utf-8"?>
<sst xmlns="http://schemas.openxmlformats.org/spreadsheetml/2006/main" count="622" uniqueCount="393">
  <si>
    <t>У т.ч. по роках:</t>
  </si>
  <si>
    <t>Заходи зі зниження нетехнічних витрат електричної енергії</t>
  </si>
  <si>
    <t>Впровадження та розвиток
систем зв'язку</t>
  </si>
  <si>
    <t>Модернізація та закупівля
колісної техніки</t>
  </si>
  <si>
    <t xml:space="preserve">  М. П. </t>
  </si>
  <si>
    <t>У т. ч. по кварталах</t>
  </si>
  <si>
    <t>№ сторінки обґрунто-вувальних матеріалів</t>
  </si>
  <si>
    <t>6. Етапи виконання заходів інвестиційної програми на прогнозний період</t>
  </si>
  <si>
    <t>Найменування заходів інвестиційної програми</t>
  </si>
  <si>
    <t>№ з/п</t>
  </si>
  <si>
    <t>Цільові програми</t>
  </si>
  <si>
    <t>%</t>
  </si>
  <si>
    <t>Впровадження та розвиток інформаційних технологій</t>
  </si>
  <si>
    <t>Інше</t>
  </si>
  <si>
    <t>кількість</t>
  </si>
  <si>
    <t>І квартал</t>
  </si>
  <si>
    <t>ІІ квартал</t>
  </si>
  <si>
    <t>ІІІ квартал</t>
  </si>
  <si>
    <t>Одиниця виміру</t>
  </si>
  <si>
    <t>Джерело фінансування</t>
  </si>
  <si>
    <t>км</t>
  </si>
  <si>
    <t>шт.</t>
  </si>
  <si>
    <t>Примітка</t>
  </si>
  <si>
    <t>5. Загальний опис робіт</t>
  </si>
  <si>
    <t>№ сторінки пояснювальної записки</t>
  </si>
  <si>
    <t>Будівництво, модернізація та реконструкція електричних мереж та обладнання</t>
  </si>
  <si>
    <t>М. П.</t>
  </si>
  <si>
    <t>Усього</t>
  </si>
  <si>
    <t>IV квартал</t>
  </si>
  <si>
    <t>Найменування відповідної державної програми</t>
  </si>
  <si>
    <t>_________________</t>
  </si>
  <si>
    <t>(підпис)</t>
  </si>
  <si>
    <t>кількість*</t>
  </si>
  <si>
    <t>Усього по програмі:</t>
  </si>
  <si>
    <t>Керівник ліцензіата</t>
  </si>
  <si>
    <t>(або особа, яка виконує його обов'язки)</t>
  </si>
  <si>
    <t>(прізвище, ім'я, по батькові)</t>
  </si>
  <si>
    <t>Керівник ліцензіата                                         ___________________</t>
  </si>
  <si>
    <t>(або особа, яка виконує його обов'язки)                       (підпис)</t>
  </si>
  <si>
    <t>Впровадження та розвиток автоматизованих систем диспетчерсько-технологічного керування (АСДТК)</t>
  </si>
  <si>
    <t>* Довжина ліній електропередачі вказується по трасі ліній.</t>
  </si>
  <si>
    <t>І.1</t>
  </si>
  <si>
    <t>І.1.1</t>
  </si>
  <si>
    <t>І.1.1.1</t>
  </si>
  <si>
    <t>од.</t>
  </si>
  <si>
    <t>І.1.2</t>
  </si>
  <si>
    <t>Реконструкція ЛЕП</t>
  </si>
  <si>
    <t>Проектні роботи</t>
  </si>
  <si>
    <t>І.1.1.2</t>
  </si>
  <si>
    <t>IV.1.1</t>
  </si>
  <si>
    <t>шт</t>
  </si>
  <si>
    <t>IV.1.2</t>
  </si>
  <si>
    <t>IV.2.1</t>
  </si>
  <si>
    <t>Microsoft Enterprise Agreement</t>
  </si>
  <si>
    <t>IV.3.1</t>
  </si>
  <si>
    <t>IV.2.2</t>
  </si>
  <si>
    <t>М.В. Корса</t>
  </si>
  <si>
    <t>Реконструкція виробничих баз</t>
  </si>
  <si>
    <t>ІІ.1</t>
  </si>
  <si>
    <t>Обладнання, що не вимагає монтажу</t>
  </si>
  <si>
    <t>ІІ.2</t>
  </si>
  <si>
    <t>власні кошти</t>
  </si>
  <si>
    <t>тис. грн (без ПДВ)</t>
  </si>
  <si>
    <t>Вартість одиниці продукції,
тис. грн (без ПДВ)</t>
  </si>
  <si>
    <t>тис. грн. (без ПДВ)</t>
  </si>
  <si>
    <t>Корса М.В.</t>
  </si>
  <si>
    <t>Технічне переоснащення  трансформаторної підстанції 150/10/6 кВ "ПЛМ"</t>
  </si>
  <si>
    <t>У тому числі по видах діяльності</t>
  </si>
  <si>
    <t>передача електричної енергії</t>
  </si>
  <si>
    <t>постачання електричної енергії</t>
  </si>
  <si>
    <t>тис. грн. без ПДВ</t>
  </si>
  <si>
    <t>5=7+9</t>
  </si>
  <si>
    <t>6=8+10</t>
  </si>
  <si>
    <t>Створення АСКОЕ побутових споживачів</t>
  </si>
  <si>
    <t>Ноутбук</t>
  </si>
  <si>
    <t>І.1.1.3</t>
  </si>
  <si>
    <t>І.1.2.1</t>
  </si>
  <si>
    <t>І.1.2.2</t>
  </si>
  <si>
    <t>І.1.2.3</t>
  </si>
  <si>
    <t>І.1.2.4</t>
  </si>
  <si>
    <t>І.1.1.5</t>
  </si>
  <si>
    <t>І.1.1.6</t>
  </si>
  <si>
    <t>Закупівля обладнання під АСКОЕ</t>
  </si>
  <si>
    <t>Блок живлення  DR-15-12</t>
  </si>
  <si>
    <t>"____" ____________ 2017___ року</t>
  </si>
  <si>
    <t xml:space="preserve">    "____" ____________ 2017___ року</t>
  </si>
  <si>
    <t>Зварювальний генератор 3,5/6,5 кВА Kohltr OHV, 10,3 кВт/14 к.с. 429 см.куб., 3,7 л., 91 кг,WAGT 220DC KSB    (ЖвРЕМ)</t>
  </si>
  <si>
    <t>Бензогенератор 5 кВт (ВгРЕМ)</t>
  </si>
  <si>
    <t>IP телефон</t>
  </si>
  <si>
    <t>Закупівля нових робочих станцій</t>
  </si>
  <si>
    <t>Монітор 24</t>
  </si>
  <si>
    <t>Інші засоби компютерізації</t>
  </si>
  <si>
    <t>МФУ ТИП 1</t>
  </si>
  <si>
    <t>МФУ ТИП 2</t>
  </si>
  <si>
    <t>МФУ ТИП 3</t>
  </si>
  <si>
    <t>Закупівля програмного забезпечення, у т.ч.</t>
  </si>
  <si>
    <t>Модернізація прикладного програмного забезпечення, у т.ч.</t>
  </si>
  <si>
    <t>Придбання приміщення ПвРЕМ</t>
  </si>
  <si>
    <t>Відбіний молоток Bosch GSH 11E (ІнРЕМ)</t>
  </si>
  <si>
    <t>Приймач П-900 для пошуку місця пошкодження КЛ (ЖвРЕМ)</t>
  </si>
  <si>
    <t>Стенд в/в стаціонарний СВС-100М дл явипробувань (ЖвРЕМ)</t>
  </si>
  <si>
    <t>Розробка проектної документації "Реконструкція ПЛ-6 кВ від ПС "Артемівська" в бік КТП-4, КТП-5, КТП-5 2Т з заміною існуючих опор та проводу АС-50 на СІП або АС-50 від оп. №13 до опори №50 1900 м. (КрРЕМ)</t>
  </si>
  <si>
    <t xml:space="preserve">Розробка проектної документації   "Заміна ПЛ-35 Л-ІНГ-31 ПС "Електрон" - ПС "Інгулецька" </t>
  </si>
  <si>
    <t xml:space="preserve">Розробка проектної документації "Реконструкція ПЛ-6 кВ  ПЛ-6 кВ  від КРУН-6 кВ ком.4 до ЗТП-1, ЗТП-2 з переключенням до ПС-35/6 кВ "Чешка" ЗРП-6 кВ ком. 12   смт. Радушне.(Кривий Ріг)  </t>
  </si>
  <si>
    <t>Лічильник трифазний типу Torgrids</t>
  </si>
  <si>
    <t>Впровадження геодезичної інформаційно-технічної системи</t>
  </si>
  <si>
    <t>Трансформатори струму Т-0,66 (150/5, 200/5,300/5,400/5,600/5,1000/5)</t>
  </si>
  <si>
    <t>Лічильники трифазні  типу EPQS</t>
  </si>
  <si>
    <t>Модем типу iRZ TU 41</t>
  </si>
  <si>
    <t>Лічильник однофазний типу ЛЕБ-Д1.Б5-PR6 або аналог</t>
  </si>
  <si>
    <t>Маршрутизатор для  однофазних електронних лічильників з функцією Smart</t>
  </si>
  <si>
    <t>Проектування виносу лічильників електроенергії у населення з квартир на сходові клітини</t>
  </si>
  <si>
    <t>Усього на роки 2018 -2022</t>
  </si>
  <si>
    <t>Реконструкція підстанції 35/6 кВ "С-35" (1 етап)</t>
  </si>
  <si>
    <t>Закупівля нового мережевого обладнання</t>
  </si>
  <si>
    <t>Комутатор 48 портовий</t>
  </si>
  <si>
    <t>Сервер НР</t>
  </si>
  <si>
    <t>МАЗ КС 45279 або аналог (ЖвРЕМ)</t>
  </si>
  <si>
    <t xml:space="preserve">Реконструкція підстанції з заміною  МВ-150 на елегазові вимикачі 150кВ на ПС 150/10/6 кВ "ПЛМ" </t>
  </si>
  <si>
    <t>Розвиток, модернізація та будівництво електричних мереж, у т.ч.</t>
  </si>
  <si>
    <t xml:space="preserve"> "Технічне переоснащення підстанції ПС 35/6 кВ "Північна-35" м. Жовті Води Дніпропетровської області</t>
  </si>
  <si>
    <t>Реконструкція ПЛ-6 кВ Л-5-29 від ком.14 ПС 35/6 №5 до ком. 10 ПС 35/6 кВ №29 м. Жовті Води</t>
  </si>
  <si>
    <t>Реконструкція КЛ-6 кВ ТП-8 ком. №1 до ТП-6/8 ком. №6 м. Павлоград</t>
  </si>
  <si>
    <t>Реконструкція КЛ-6 кВ ТП-14А ком. №3 до ТП-14 ком. №1 м. Павлоград</t>
  </si>
  <si>
    <t xml:space="preserve"> Реконструкція КЛ-6 кВ ТП-12а ком.4-ТП-24 ком.1 м. Павлоград</t>
  </si>
  <si>
    <t xml:space="preserve"> Реконструкція КЛ-6 кВ ТП-40 ком.3-ТП-24 ком.4 м. Павлоград</t>
  </si>
  <si>
    <t xml:space="preserve"> Реконструкція КЛ-6 кВ ТП-13 ком.1-ТП-12а ком.1 м. Павлоград</t>
  </si>
  <si>
    <t>ПР Реконструкція КЛ-10 кВ ПС-35/10 "Гвардейская" ком.102-ТП-187 ком.19 смт Гвардійське Новомосковського р-ну</t>
  </si>
  <si>
    <t>ПР Реконструкція КЛ-10 кВ ПС-35/10 "Гвардейская" ком.103-ТП-182 ком.3 смт. Черкаське Новомосковського р-ну</t>
  </si>
  <si>
    <t>ПР Реконструкція КЛ-10 кВ ТП-178 ком.2-ТП-171 ком.5смт. Черкаське Новомосковського р-ну</t>
  </si>
  <si>
    <t>ПР Реконструкція КЛ-10 кВ ТП-182 ком.4-ТП-178 ком.4  смт. Черкаське Новомосковського р-ну</t>
  </si>
  <si>
    <t>ПР Реконструкція КЛ-10 кВ ТП-157 ком.1-ТП-154 ком.3 смт. Черкаське Новомосковського р-ну</t>
  </si>
  <si>
    <t xml:space="preserve"> Реконструкція КЛ-6 кВ ТП-23 ком.5-ТП-14 ком.3 м. Павлоград </t>
  </si>
  <si>
    <t>Реконструкція КЛ-0,4 кВ від ТП-6/8 РБ-7 до буд. №26  по вул. Нова м. Павлоград</t>
  </si>
  <si>
    <t>Реконструкція КЛ-0,4 кВ від ТП-35 РБ-21 до буд. №16  по вул. Сташкова м. Павлоград</t>
  </si>
  <si>
    <t>Проектування мікропроцессорного пристрою діагностування стану ізоляції, захисту приєднань секції шин 6/10 кВ при однофазних замиканнях на землю та реєстрація аналогових і дискетних сигналів електроустановок (РУ-6 кВ, ЦРП-1, ЦРП-2,3,4 ПС "КПО")</t>
  </si>
  <si>
    <t>Модернізація ТП-25 6/0,4 кВ м. Жовті Води</t>
  </si>
  <si>
    <t>Впровадження комерційного обліку електроенергії</t>
  </si>
  <si>
    <t>Розробка проектної документації "Реконструкція КЛ-6 кВ ЗТП-168 ком. № 1 - ЗТП-167 ком. № 3, смт. Дніпровське (ВгРЕМ)</t>
  </si>
  <si>
    <t>Розробка проектної документації "РеконструкціяКЛ-6 кВ ЗТП-167 ком. № 4 - ЗТП-109 ком. № 3, смт. Дніпровське. (ВгРЕМ)</t>
  </si>
  <si>
    <t>Розробка проектної документації "Реконструкція КЛ-6 кВ ЗТП-163 ком. № 5 - ЗТП-161 ком. № 1, смт. Дніпровське . (ВгРЕМ)</t>
  </si>
  <si>
    <t>Розробка проектної документації "Реконструкція КЛ-6 кВ ЗТП-161 ком. № 3 - ЗТП-160 ком. № 1, смт. Дніпровське. (ВгРЕМ)</t>
  </si>
  <si>
    <t>Розробка проектної документації "Реконструкція КЛ-6 кВ ТП-37 ком. № 1 - ТП-36 ком.№ 2, м. Вільногірськ</t>
  </si>
  <si>
    <t xml:space="preserve">Розробка проектної документації "Реконструкція КЛ-6 кВ ТП-10 ком. № 3 - ТП-2 ком. № 1, м. Вільногірськ. </t>
  </si>
  <si>
    <t>Розробка проектної документації "Реконструкція КЛ-6 кВ ТП-7Б ком. № 3 - ТП-36А ком. № 3, м. Вільногірськ.</t>
  </si>
  <si>
    <t>Розробка проектної документації "Реконструкція КЛ-6 кВ РП-1 ком. №6 - ТП-10 ком. №2 м. Вільногірськ.</t>
  </si>
  <si>
    <t>Розробка проектної документації "Реконструкція КЛ-6кВ КП-4 ком. № 10 - ТП-107 ком. № 8 м. Дніпро</t>
  </si>
  <si>
    <t>Розробка проектної документації "Реконструкція КЛ-6кВ КП-7 ком. № 23 - ТП-216 ком. № 3 м. Дніпро</t>
  </si>
  <si>
    <t>Розробка проектної документації "Реконструкція КЛ-6кВ ПС КПО ком. № 51 - ТП-2ш ком. № 2 м.Дніпро</t>
  </si>
  <si>
    <t>Розробка проектної документації "Реконструкція КЛ-6кВ ТП-107 ком. № 6 - ТП-117 ком. № 2 м. Дніпро</t>
  </si>
  <si>
    <t>Розробка проектної документації "РеконструкціяКЛ-6кВ ТП-111 ком. № 1 - ТП-112 ком. № 4 м. Дніпро</t>
  </si>
  <si>
    <t>Розробка проектної документації "РеконструкціяКЛ-6кВ ТП-121 ком. № 2 - ТП-118 ком. № 1 м. Дніпро</t>
  </si>
  <si>
    <t>Розробка проектної документації "РеконструкціяКЛ-6кВ ТП-216 ком. № 4 - ТП-245 ком. № 6 м. Дніпро</t>
  </si>
  <si>
    <t>Розробка проектної документації "РеконструкціяКЛ-6кВ ТП-233 ком. № 4 - ТП-215 ком. № 2 м. Дніпро</t>
  </si>
  <si>
    <t xml:space="preserve">Розробка проектної документації "РеконструкціяКЛ-0,4кВ від ТП-35ш  А-3 до буд. № 11 по вул. Гладкова  м. Дніпро </t>
  </si>
  <si>
    <t xml:space="preserve">Розробка проектної документації "РеконструкціяКЛ-0,4кВ від ТП-35ш  РБ-14 до буд. № 2, 4  по вул.  Казакевича та буд. № 17 по вул. Гладкова  м. Дніпро </t>
  </si>
  <si>
    <t xml:space="preserve">Розробка проектної документації "РеконструкціяКЛ-0,4кВ від ТП-128 РБ-15 до буд. № 47 бл. № 3 по вул. Дмитра Кедріна м. Дніпро </t>
  </si>
  <si>
    <t xml:space="preserve">Розробка проектної документації "РеконструкціяКЛ-0,4кВ від ТП-223  РБ-11 до буд. №24 по вул.  Будівельників  м. Дніпро </t>
  </si>
  <si>
    <t>Розробка проектної документації "РеконструкціяКЛ-0,4кВ від ТП-241 РБ-3 до буд. № 4а по вул. Новокримська,    м. Дніпро.</t>
  </si>
  <si>
    <t>Розробка проектної документації "РеконструкціяКЛ-0,4кВ від ТП-317 РБ-2 до буд. № 5а по вул. Киргизька,    м. Дніпро</t>
  </si>
  <si>
    <t>Розробка проектної документації "Реконструкція  КЛ-0,4кВ (Дволанцюгова) від ТП-1ш  РБ-8 до буд. № 4 по вул.  Б. Мозолевського,  КЛ-0,4кВ від ТП-1ш  РБ-9 до буд. № 4 по вул.  Б.Мозолевського  (Корнейчука) м. Дніпро" .</t>
  </si>
  <si>
    <t>Дволанцюгова КЛ-0,4кВ від ТП-5к РБ-9 до буд. № 7 по вул. Данила Нечая , КЛ-0,4кВ від ТП-5к РБ-13 до буд. № 7 по вул. Данила Нечая,  м. Дніпро.</t>
  </si>
  <si>
    <t>Дволанцюгова КЛ-0,4кВ від ТП-128 РБ-2 до буд. № 108 бл.  № 2 по вул. Надії Алексєєнко, КЛ-0,4кВ від ТП-128 РБ-14 до буд. № 108 бл.  № 2 по вул. Надії Алексєєнко (Чичеріна),    м. Дніпро .</t>
  </si>
  <si>
    <t>Дволанцюгова КЛ-0,4кВ від ТП-128 РБ-4 до буд. № 108 бл.  № 1 по вул. Надії Алексєєнко, КЛ-0,4кВ від ТП-128 РБ-13 до буд. № 108 бл.  №1 по вул. Надії Алексєєнко (Чичеріна),  м. Дніпро .</t>
  </si>
  <si>
    <t>Дволанцюгова КЛ-0,4кВ від ТП-207  РБ-9 до буд. № 15а вв.  № 1 по вул. Будівельників, КЛ-0,4кВ від ТП-207  РБ-11 до буд. № 15а  вв.  № 2 по вул. Будівельників м. Дніпро .</t>
  </si>
  <si>
    <t>Дволанцюгова КЛ-0,4кВ від ТП-210 РБ-2 до буд. № 42 по вул. Новокримська, КЛ-0,4кВ від ТП-210 РБ-10 до буд. № 42 по вул. Новокримська,    м. Дніпро.</t>
  </si>
  <si>
    <t>Дволанцюгова КЛ-0,4кВ від ТП-236  РБ-7 до буд. № 98 В по просп. О. Поля, КЛ-0,4кВ від ТП-236 РБ-11 до буд. № 98 В по просп.О.Поля (Кірова) м. Дніпро.</t>
  </si>
  <si>
    <t>Дволанцюгова КЛ-0,4кВ від ТП-240  РБ-12 до буд. №18 по вул. Фабрично Заводська,    КЛ-0,4кВ від ТП-240  РБ-13 до буд. №18 по вул. Фабрично Заводська м. Дніпро.</t>
  </si>
  <si>
    <t xml:space="preserve">Дволанцюгова КЛ-0,4 кВ від ТП-243  РБ-18 до буд. № 7 по вул.  Новокримська;  КЛ-0,4 кВ до буд. № 7 по вул.  Новокримська від ТП-244  РБ-5  з перепідключенням до ТП-243  РБ-7, м. Дніпро. </t>
  </si>
  <si>
    <t xml:space="preserve">Дволанцюгова КЛ-0,4 кВ до буд. № 46 по вул. Єрмолової від КТП-305А  РБ-2 з перепідключенням до ТП-305  РБ-2; КЛ-0,4 кВ до буд. № 46 по вул. Єрмолової від КТП-305А  РБ-3  з перепідключенням до ТП-305  РБ-9,         </t>
  </si>
  <si>
    <t xml:space="preserve">Дволанцюгова КЛ-0,4 кВ до буд. № 48  по вул. Єрмолової від КТП-305А РБ-4 з перепідключенням до ТП-305 РБ-4; КЛ-0,4 кВ до буд. № 48 по вул. Єрмолової від КТП-305А РБ-5 з перепідключенням до ТП-305 РБ-11,  м. Дніпро.                                                </t>
  </si>
  <si>
    <t>Дволанцюгова КЛ-0,4 кВ від електрощитової буд. № 19   вул.  Гладкова  до електрощитової   буд.  № 21  по  вул. Гладкова, КЛ-0,4 кВ від електрощитової буд. № 19   вул.  Гладкова  до електрощитової   буд.  № 21  по  вул. Гладкова  м. Дніпро.</t>
  </si>
  <si>
    <t>Дволанцюгова КЛ-0,4кВ від ТП-243  РБ-1 до буд. № 31 по просп.  Богдана Хмельницького;  КЛ-0,4кВ від ТП-243  РБ-9 до буд. № 31 по просп.  Богдана Хмельницького, м.Дніпро.</t>
  </si>
  <si>
    <t>Впровадження електронного документообігу</t>
  </si>
  <si>
    <t>Автовишка Oil-Steel на базі Hyundai HD-210 або аналог</t>
  </si>
  <si>
    <t>КАМАЗ-65117 з краном маніпулятором PalfingerРК-15500А або аналог</t>
  </si>
  <si>
    <t>ГАЗ- 2705вантажопасажирський або аналог або аналог</t>
  </si>
  <si>
    <t>Екскаватор "Борекс" (ВгРЕМ) або аналог</t>
  </si>
  <si>
    <t>3-х колісний електроскутер-VOLTEKO TRIKE або аналог</t>
  </si>
  <si>
    <t>Renault Trafik  пасажир або аналог</t>
  </si>
  <si>
    <t>Реконструкція АБК ГвРЕМ</t>
  </si>
  <si>
    <t>Експертний звіт кошторису та міцності від 10.12.2013</t>
  </si>
  <si>
    <t>РП схвалено ф/г від 05.06.2015 № 179</t>
  </si>
  <si>
    <t>Ф/Г №512 від 02.12.2016</t>
  </si>
  <si>
    <t>Ф/Г № 517 від 05.12.2016</t>
  </si>
  <si>
    <t>Ф/Г №514 від 02.12.2016</t>
  </si>
  <si>
    <t>Ф/Г №56 від 15.03.2017</t>
  </si>
  <si>
    <t>Ф/Г №29 від 02.02.2017</t>
  </si>
  <si>
    <t>только ТЗ</t>
  </si>
  <si>
    <t>Ф/Г №87 від 07.04.2017</t>
  </si>
  <si>
    <t>Ф/Г №89 від 07.04.2017</t>
  </si>
  <si>
    <t>Ф/Г №88 від 07.04.2017</t>
  </si>
  <si>
    <t>Ф/Г №303 від 17.08.2016</t>
  </si>
  <si>
    <t>редукціон на 4652,863 від 11.04.2017, потрібна експертиза проекту.</t>
  </si>
  <si>
    <t>потрібна експертиза проекту</t>
  </si>
  <si>
    <t>проектна документація на стадії доробки в ПАТ ПТІ "КИЇВОРГБУД" з подальшим відправленням на ухвалення в ЕК</t>
  </si>
  <si>
    <t>ТЗ в стадії розробки</t>
  </si>
  <si>
    <t>погодження від 27.04.2015 ф/г №128</t>
  </si>
  <si>
    <t>погоджено від 17.08.2015ф/г 247</t>
  </si>
  <si>
    <t>потрібна експертиза проектної документації</t>
  </si>
  <si>
    <t>погоджено від 14.07.2015 ф/г 209</t>
  </si>
  <si>
    <t>експертиза кошторису  від 19 червня 2015</t>
  </si>
  <si>
    <t>погодження від 06.06.2014 ф/г №354</t>
  </si>
  <si>
    <t>Заміна обладнання російського виробництва потребує внесення змін до проектної документації. Лист-звернення, опросні листи на заміну обладнання, вихідні дані для складання кошторисів направлені в ПАТ ПТІ "КИЇВОРГБУД" повторно 27.07.2017</t>
  </si>
  <si>
    <t>Skoda Octavia A7 Combi New 1.6 MPI MT  або аналог</t>
  </si>
  <si>
    <t>Skoda Octavia A7 Combi New 1.6 MPI MT або аналог</t>
  </si>
  <si>
    <t>Будівництво КЛ-6 кВТП-308 яч.4 - ТП-317 яч.7</t>
  </si>
  <si>
    <t>Реконструкція ПЛ - 0,4 кВ від ТП-22 прис. А-1, А-3 з використанням СИП, м. Жовті Води</t>
  </si>
  <si>
    <t>Реконструкція КЛ-6 кВ КП-28 яч.1 - ТП-140 яч.5 м. Дніпро</t>
  </si>
  <si>
    <t>Реконструкція КЛ-6 кВ КП-28 яч.15 - ТП-140 яч.6 м. Дніпро</t>
  </si>
  <si>
    <t>Реконструкція КЛ-6 кВ ЦРП-2 яч.22 - ТП-246 яч.3 м. Дніпро</t>
  </si>
  <si>
    <t>Зниження понаднормативних втрат електроенергії в т.ч.</t>
  </si>
  <si>
    <t>ІІ.1.1</t>
  </si>
  <si>
    <t>Організація рейдової роботи</t>
  </si>
  <si>
    <t>ІІ.2.1</t>
  </si>
  <si>
    <t>Улаштування однофазних (без вартості лічильників) вводів в будинки з застосуванням СІП.</t>
  </si>
  <si>
    <t>ІІ.3</t>
  </si>
  <si>
    <t>ІІ.3.1</t>
  </si>
  <si>
    <t>ІІ.3.2</t>
  </si>
  <si>
    <t>ІІ.3.3</t>
  </si>
  <si>
    <t>ІІ.3.4</t>
  </si>
  <si>
    <t>ІІ.4</t>
  </si>
  <si>
    <t>Реконструкція КЛ-0,4 кВ ТП-130 РБ-9 Робоча, 65 бл.1</t>
  </si>
  <si>
    <t>Реконструкція КЛ-0,4 кВ ТП-130 РБ-20 Робоча, 65 бл.1</t>
  </si>
  <si>
    <t>Технічне переоснащення (реконструкція) ПС</t>
  </si>
  <si>
    <t>І.1.1.4</t>
  </si>
  <si>
    <t>І.1.2.5</t>
  </si>
  <si>
    <t>І.1.2.6</t>
  </si>
  <si>
    <t>І.1.2.7</t>
  </si>
  <si>
    <t>І.1.2.8</t>
  </si>
  <si>
    <t>І.1.2.9</t>
  </si>
  <si>
    <t>І.1.2.10</t>
  </si>
  <si>
    <t>І.1.2.11</t>
  </si>
  <si>
    <t>І.1.2.12</t>
  </si>
  <si>
    <t>І.1.2.13</t>
  </si>
  <si>
    <t>І.1.2.14</t>
  </si>
  <si>
    <t>І.1.2.15</t>
  </si>
  <si>
    <t>І.1.2.16</t>
  </si>
  <si>
    <t>І.1.2.17</t>
  </si>
  <si>
    <t>І.1.2.18</t>
  </si>
  <si>
    <t>І.1.2.19</t>
  </si>
  <si>
    <t>І.1.2.20</t>
  </si>
  <si>
    <t>І.1.2.21</t>
  </si>
  <si>
    <t>І.1.2.22</t>
  </si>
  <si>
    <t>І.1.2.24</t>
  </si>
  <si>
    <t>І.1.2.25</t>
  </si>
  <si>
    <t>І.2</t>
  </si>
  <si>
    <t>І.2.1</t>
  </si>
  <si>
    <t>І.2.2</t>
  </si>
  <si>
    <t>І.2.3</t>
  </si>
  <si>
    <t>І.2.4</t>
  </si>
  <si>
    <t>І.2.5</t>
  </si>
  <si>
    <t>І.2.6</t>
  </si>
  <si>
    <t>І.2.7</t>
  </si>
  <si>
    <t>І.2.8</t>
  </si>
  <si>
    <t>І.2.9</t>
  </si>
  <si>
    <t>І.2.10</t>
  </si>
  <si>
    <t>І.2.11</t>
  </si>
  <si>
    <t>І.2.12</t>
  </si>
  <si>
    <t>І.2.13</t>
  </si>
  <si>
    <t>І.2.14</t>
  </si>
  <si>
    <t>І.2.15</t>
  </si>
  <si>
    <t>І.2.16</t>
  </si>
  <si>
    <t>І.2.17</t>
  </si>
  <si>
    <t>І.2.18</t>
  </si>
  <si>
    <t>І.2.19</t>
  </si>
  <si>
    <t>І.2.20</t>
  </si>
  <si>
    <t>І.2.21</t>
  </si>
  <si>
    <t>І.2.22</t>
  </si>
  <si>
    <t>І.2.23</t>
  </si>
  <si>
    <t>І.2.24</t>
  </si>
  <si>
    <t>І.2.25</t>
  </si>
  <si>
    <t>І.2.26</t>
  </si>
  <si>
    <t>І.2.27</t>
  </si>
  <si>
    <t>І.2.28</t>
  </si>
  <si>
    <t>І.2.29</t>
  </si>
  <si>
    <t>І.2.30</t>
  </si>
  <si>
    <t>І.2.31</t>
  </si>
  <si>
    <t>І.2.32</t>
  </si>
  <si>
    <t>І.2.33</t>
  </si>
  <si>
    <t>І.2.34</t>
  </si>
  <si>
    <t>І.2.35</t>
  </si>
  <si>
    <t>І.2.36</t>
  </si>
  <si>
    <t>І.2.37</t>
  </si>
  <si>
    <t>І.2.38</t>
  </si>
  <si>
    <t>І.2.39</t>
  </si>
  <si>
    <t>І.2.40</t>
  </si>
  <si>
    <t>І.2.41</t>
  </si>
  <si>
    <t>І.2.42</t>
  </si>
  <si>
    <t>І.2.43</t>
  </si>
  <si>
    <t>І.2.44</t>
  </si>
  <si>
    <t>І.2.45</t>
  </si>
  <si>
    <t>І.2.46</t>
  </si>
  <si>
    <t>І.2.47</t>
  </si>
  <si>
    <t>І.2.48</t>
  </si>
  <si>
    <t>І.2.49</t>
  </si>
  <si>
    <t>І.2.50</t>
  </si>
  <si>
    <t>І.2.51</t>
  </si>
  <si>
    <t>І.2.52</t>
  </si>
  <si>
    <t>І.2.53</t>
  </si>
  <si>
    <t>І.2.54</t>
  </si>
  <si>
    <t>І.2.55</t>
  </si>
  <si>
    <t>І.2.56</t>
  </si>
  <si>
    <t>Усього по розділу І</t>
  </si>
  <si>
    <t>I. Будівництво, модернізація та реконструкція електричних мереж та обладнання</t>
  </si>
  <si>
    <t>II. Заходи зі зниження нетехнічних витрат електричної енергії</t>
  </si>
  <si>
    <t>ІІ.4.1</t>
  </si>
  <si>
    <t>ІІ.4.2</t>
  </si>
  <si>
    <t>ІІ.4.3</t>
  </si>
  <si>
    <t>Усього по розділу II:</t>
  </si>
  <si>
    <t>III. Впровадження та розвиток АСДТК</t>
  </si>
  <si>
    <t>III.1</t>
  </si>
  <si>
    <t>Усього по розділу III:</t>
  </si>
  <si>
    <t>IV. Впровадження та розвиток інформаційних технологій</t>
  </si>
  <si>
    <t>IV.1</t>
  </si>
  <si>
    <t>IV.2</t>
  </si>
  <si>
    <t>IV.2.3</t>
  </si>
  <si>
    <t>IV.3</t>
  </si>
  <si>
    <t>IV.4</t>
  </si>
  <si>
    <t>IV.4.1</t>
  </si>
  <si>
    <t>IV.5</t>
  </si>
  <si>
    <t>IV.5.1</t>
  </si>
  <si>
    <t>IV.5.2</t>
  </si>
  <si>
    <t>IV.6</t>
  </si>
  <si>
    <t>Усього по розділу IV:</t>
  </si>
  <si>
    <t>V. Впровадження та розвиток систем зв'язку</t>
  </si>
  <si>
    <t>V.1</t>
  </si>
  <si>
    <t>Усього по розділу V:</t>
  </si>
  <si>
    <t>VI. Модернізація та закупівля колісної техніки</t>
  </si>
  <si>
    <t>VI.1</t>
  </si>
  <si>
    <t>VI.2</t>
  </si>
  <si>
    <t>VI.3</t>
  </si>
  <si>
    <t>VI.4</t>
  </si>
  <si>
    <t>VI.5</t>
  </si>
  <si>
    <t>VI.6</t>
  </si>
  <si>
    <t>VI.7</t>
  </si>
  <si>
    <t>VI.8</t>
  </si>
  <si>
    <t>VI.9</t>
  </si>
  <si>
    <t>Усього по розділу VI:</t>
  </si>
  <si>
    <t>VII. Інше</t>
  </si>
  <si>
    <t>VII.1</t>
  </si>
  <si>
    <t>VII.1.1</t>
  </si>
  <si>
    <t>VII.1.2</t>
  </si>
  <si>
    <t>VII.2</t>
  </si>
  <si>
    <t>VII.2.1</t>
  </si>
  <si>
    <t>VII.2.2</t>
  </si>
  <si>
    <t>VII.2.3</t>
  </si>
  <si>
    <t>VII.2.4</t>
  </si>
  <si>
    <t>VII.2.5</t>
  </si>
  <si>
    <t>Усього по розділу VII:</t>
  </si>
  <si>
    <t>Впровадження комплексy АСДTK  (ОДГ, ЦРП-3)</t>
  </si>
  <si>
    <r>
      <t xml:space="preserve">Розробка ТЕО"Реконструкція електричних мереж ПрАТ "ПЕЕМ "ЦЕК" з реконфігурацією мережі зі зміною класу напруги 6 кВ на 20 кВ </t>
    </r>
    <r>
      <rPr>
        <b/>
        <sz val="12"/>
        <rFont val="Times New Roman"/>
        <family val="1"/>
      </rPr>
      <t>м. Жовті Води.</t>
    </r>
  </si>
  <si>
    <t>Додаткові заходи 
(у разі переходу на стимулююче тарифоутворення):</t>
  </si>
  <si>
    <r>
      <t xml:space="preserve">Будівництво </t>
    </r>
    <r>
      <rPr>
        <sz val="12"/>
        <rFont val="Times New Roman"/>
        <family val="1"/>
      </rPr>
      <t>КЛ</t>
    </r>
    <r>
      <rPr>
        <sz val="12"/>
        <color indexed="8"/>
        <rFont val="Times New Roman"/>
        <family val="1"/>
      </rPr>
      <t xml:space="preserve"> -6 кВ ТП-334 яч.2 -ТП-304 яч.3</t>
    </r>
  </si>
  <si>
    <t>Додаткові заходи (у разі переходу на стимулююче тарифоутворення):</t>
  </si>
  <si>
    <t xml:space="preserve">Розробка проектної документації "Технічне переоснащення трансформаторної підстанції 35/6 кВ  "НВ-ЦЗ" </t>
  </si>
  <si>
    <t>Розробка проектної документації "Технічне переоснащення трансформаторної підстанції 35/10 кВ "Луч"</t>
  </si>
  <si>
    <t>Розробка проектної документації "Технічне переоснащення трансформаторної підстанції 35/6 кВ "Палмаш"</t>
  </si>
  <si>
    <t xml:space="preserve">Розробка проектної документації
"Технічне переоснащення транформаторної підстанції 154/35/6 кВ    «ПЗТО» </t>
  </si>
  <si>
    <t xml:space="preserve">Розробка проектної документації
"Технічне переоснащення транформаторної підстанції 154/35/6 кВ    «ПМЗ» </t>
  </si>
  <si>
    <t xml:space="preserve">Розробка проектної документації
"Технічне переоснащення транформаторної підстанції 35/6 кВ    «Чешка» </t>
  </si>
  <si>
    <t xml:space="preserve">Розробка проектної документації
"Технічне переоснащення транформаторної підстанції 35/6 кВ    «№14» </t>
  </si>
  <si>
    <t xml:space="preserve">Розробка проектної документації
"Технічне переоснащення транформаторної підстанції 35/10 кВ    «НМФ» </t>
  </si>
  <si>
    <t>ІІ.3.5</t>
  </si>
  <si>
    <t>ІІ.3.6</t>
  </si>
  <si>
    <t>ІІ.3.7</t>
  </si>
  <si>
    <t>ІІ.3.8</t>
  </si>
  <si>
    <t>ІІ.4.4</t>
  </si>
  <si>
    <t>ІІ.4.5</t>
  </si>
  <si>
    <t>ІІ.4.6</t>
  </si>
  <si>
    <t xml:space="preserve"> Впровадження та розвиток систем зв'язку</t>
  </si>
  <si>
    <t>VI.10</t>
  </si>
  <si>
    <t>VI.11</t>
  </si>
  <si>
    <t>170,769</t>
  </si>
  <si>
    <t>230,73</t>
  </si>
  <si>
    <t>132,0525</t>
  </si>
  <si>
    <t>Розробка проектної документації  "Технічне переоснащення трансформаторної підстанції 35/6 кВ "Молзавод"</t>
  </si>
  <si>
    <t xml:space="preserve">Розробка проектної документації
"Технічне переоснащення транформаторної підстанції   «ДШЗ-1» </t>
  </si>
  <si>
    <t>ПВР Технічне переоснащення трансфоматорної підстанції 154/35/6 кВ "КПО"</t>
  </si>
  <si>
    <t>Розробка проектної документації "Технічне переоснащення трансформаторної підстанції 35/6 кВ  "Стрічка"</t>
  </si>
  <si>
    <t>Розробка проектної документації "Технічне переоснащення трансформаторної підстанції 35/6 кВ  "Рахманово""</t>
  </si>
  <si>
    <t xml:space="preserve">Розробка проектної документації "Технічне переоснащення трансформаторної підстанції 35/6 кВ  "ЦЗ" </t>
  </si>
  <si>
    <r>
      <t xml:space="preserve">Розробка проектної документації"Реконструкція електричних мереж ПрАТ "ПЕЕМ "ЦЕК" з реконфігурацією мережі зі зміною класу напруги 6 кВ на 20 кВ </t>
    </r>
    <r>
      <rPr>
        <b/>
        <sz val="12"/>
        <rFont val="Times New Roman"/>
        <family val="1"/>
      </rPr>
      <t>м.Вільногірськ</t>
    </r>
    <r>
      <rPr>
        <sz val="12"/>
        <rFont val="Times New Roman"/>
        <family val="1"/>
      </rPr>
      <t>.</t>
    </r>
  </si>
  <si>
    <t>Технічне переоснащення підстанції ПС 35/6 кВ "№5" м. Жовті Води</t>
  </si>
  <si>
    <t>Реконструкція КЛ-6 кВ ТП-23 ком.1-ТП-10 ком.2 (м. Павлоград)</t>
  </si>
  <si>
    <t>Реконструкція КЛ-6 кВ ТП-14а ком.2-ТП-13 ком.3 (м. Павлоград)</t>
  </si>
  <si>
    <t>59-61</t>
  </si>
  <si>
    <t>62-79</t>
  </si>
  <si>
    <t>80-85</t>
  </si>
  <si>
    <t>86-96</t>
  </si>
  <si>
    <t>97-101</t>
  </si>
  <si>
    <t>104-112</t>
  </si>
  <si>
    <t>113-121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</si>
</sst>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#,##0.0"/>
    <numFmt numFmtId="177" formatCode="#,##0.000_ ;[Red]\-#,##0.000\ "/>
    <numFmt numFmtId="178" formatCode="#,##0_ ;[Red]\-#,##0\ "/>
    <numFmt numFmtId="179" formatCode="#,##0.0_ ;[Red]\-#,##0.0\ "/>
    <numFmt numFmtId="180" formatCode="0.000"/>
    <numFmt numFmtId="181" formatCode="0.0"/>
    <numFmt numFmtId="182" formatCode="0.0%"/>
    <numFmt numFmtId="183" formatCode="#,##0.00_ ;[Red]\-#,##0.00\ "/>
    <numFmt numFmtId="184" formatCode="_(* #,##0.00_);_(* \(#,##0.00\);_(* &quot;-&quot;??_);_(@_)"/>
    <numFmt numFmtId="185" formatCode="000000"/>
    <numFmt numFmtId="186" formatCode="\ #,##0.00&quot;         &quot;;\-#,##0.00&quot;         &quot;;&quot; -&quot;#&quot;         &quot;;@\ "/>
    <numFmt numFmtId="187" formatCode="#,##0.00_ ;\-#,##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7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PragmaticaCTT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Mangal"/>
      <family val="2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i/>
      <sz val="12"/>
      <color indexed="16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5" tint="-0.4999699890613556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9" tint="-0.4999699890613556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thin"/>
      <top style="thin"/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32"/>
      </left>
      <right style="thin">
        <color indexed="3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19" fillId="0" borderId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0" fontId="54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/>
      <protection hidden="1"/>
    </xf>
    <xf numFmtId="0" fontId="8" fillId="0" borderId="0" xfId="65" applyFont="1" applyProtection="1">
      <alignment/>
      <protection hidden="1"/>
    </xf>
    <xf numFmtId="0" fontId="8" fillId="0" borderId="0" xfId="65" applyFont="1" applyAlignment="1" applyProtection="1">
      <alignment horizontal="left"/>
      <protection hidden="1"/>
    </xf>
    <xf numFmtId="0" fontId="0" fillId="0" borderId="0" xfId="34" applyFont="1" applyFill="1" applyProtection="1">
      <alignment/>
      <protection/>
    </xf>
    <xf numFmtId="0" fontId="14" fillId="0" borderId="10" xfId="34" applyFont="1" applyFill="1" applyBorder="1" applyAlignment="1" applyProtection="1">
      <alignment horizontal="center"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 locked="0"/>
    </xf>
    <xf numFmtId="10" fontId="14" fillId="0" borderId="10" xfId="34" applyNumberFormat="1" applyFont="1" applyFill="1" applyBorder="1" applyAlignment="1" applyProtection="1">
      <alignment horizontal="center" vertical="center" wrapText="1"/>
      <protection/>
    </xf>
    <xf numFmtId="0" fontId="14" fillId="0" borderId="0" xfId="34" applyFont="1" applyFill="1" applyProtection="1">
      <alignment/>
      <protection/>
    </xf>
    <xf numFmtId="4" fontId="14" fillId="0" borderId="10" xfId="34" applyNumberFormat="1" applyFont="1" applyFill="1" applyBorder="1" applyAlignment="1" applyProtection="1">
      <alignment horizontal="center" vertical="center" wrapText="1"/>
      <protection/>
    </xf>
    <xf numFmtId="0" fontId="14" fillId="0" borderId="0" xfId="34" applyFont="1" applyFill="1" applyBorder="1" applyProtection="1">
      <alignment/>
      <protection/>
    </xf>
    <xf numFmtId="0" fontId="14" fillId="0" borderId="10" xfId="34" applyNumberFormat="1" applyFont="1" applyFill="1" applyBorder="1" applyAlignment="1" applyProtection="1">
      <alignment horizontal="center" vertical="center" wrapText="1"/>
      <protection/>
    </xf>
    <xf numFmtId="0" fontId="14" fillId="0" borderId="0" xfId="34" applyFont="1" applyFill="1" applyBorder="1" applyAlignment="1">
      <alignment horizontal="center" vertical="center" wrapText="1"/>
      <protection/>
    </xf>
    <xf numFmtId="0" fontId="14" fillId="0" borderId="0" xfId="34" applyFont="1" applyFill="1" applyAlignment="1">
      <alignment horizontal="center" vertical="center" wrapText="1"/>
      <protection/>
    </xf>
    <xf numFmtId="0" fontId="14" fillId="0" borderId="11" xfId="34" applyFont="1" applyFill="1" applyBorder="1" applyProtection="1">
      <alignment/>
      <protection/>
    </xf>
    <xf numFmtId="0" fontId="14" fillId="0" borderId="0" xfId="34" applyFont="1" applyFill="1">
      <alignment/>
      <protection/>
    </xf>
    <xf numFmtId="0" fontId="6" fillId="0" borderId="0" xfId="34" applyFont="1" applyFill="1">
      <alignment/>
      <protection/>
    </xf>
    <xf numFmtId="0" fontId="16" fillId="0" borderId="0" xfId="65" applyFont="1" applyFill="1" applyBorder="1" applyAlignment="1" applyProtection="1">
      <alignment horizontal="left"/>
      <protection hidden="1"/>
    </xf>
    <xf numFmtId="0" fontId="6" fillId="0" borderId="0" xfId="34" applyFont="1" applyFill="1" applyAlignment="1">
      <alignment horizontal="center"/>
      <protection/>
    </xf>
    <xf numFmtId="0" fontId="11" fillId="0" borderId="0" xfId="34" applyFont="1" applyFill="1">
      <alignment/>
      <protection/>
    </xf>
    <xf numFmtId="0" fontId="14" fillId="0" borderId="0" xfId="65" applyFont="1" applyFill="1" applyProtection="1">
      <alignment/>
      <protection hidden="1"/>
    </xf>
    <xf numFmtId="0" fontId="12" fillId="0" borderId="0" xfId="34" applyFont="1" applyFill="1">
      <alignment/>
      <protection/>
    </xf>
    <xf numFmtId="0" fontId="6" fillId="0" borderId="0" xfId="65" applyFont="1" applyFill="1" applyProtection="1">
      <alignment/>
      <protection hidden="1"/>
    </xf>
    <xf numFmtId="0" fontId="6" fillId="0" borderId="0" xfId="65" applyFont="1" applyFill="1" applyAlignment="1" applyProtection="1">
      <alignment horizontal="left"/>
      <protection hidden="1"/>
    </xf>
    <xf numFmtId="0" fontId="6" fillId="0" borderId="0" xfId="65" applyFont="1" applyFill="1" applyAlignment="1" applyProtection="1">
      <alignment horizontal="left" indent="3"/>
      <protection hidden="1"/>
    </xf>
    <xf numFmtId="0" fontId="6" fillId="0" borderId="0" xfId="65" applyFont="1" applyFill="1" applyAlignment="1" applyProtection="1">
      <alignment horizontal="center"/>
      <protection hidden="1"/>
    </xf>
    <xf numFmtId="4" fontId="14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/>
    </xf>
    <xf numFmtId="0" fontId="0" fillId="0" borderId="0" xfId="34" applyFont="1" applyFill="1" applyBorder="1" applyProtection="1">
      <alignment/>
      <protection/>
    </xf>
    <xf numFmtId="0" fontId="6" fillId="0" borderId="0" xfId="34" applyFont="1" applyFill="1" applyAlignment="1">
      <alignment horizontal="right"/>
      <protection/>
    </xf>
    <xf numFmtId="0" fontId="13" fillId="0" borderId="0" xfId="34" applyFont="1" applyFill="1">
      <alignment/>
      <protection/>
    </xf>
    <xf numFmtId="4" fontId="14" fillId="0" borderId="0" xfId="34" applyNumberFormat="1" applyFont="1" applyFill="1" applyProtection="1">
      <alignment/>
      <protection/>
    </xf>
    <xf numFmtId="0" fontId="18" fillId="0" borderId="10" xfId="34" applyFont="1" applyFill="1" applyBorder="1" applyAlignment="1">
      <alignment horizontal="center"/>
      <protection/>
    </xf>
    <xf numFmtId="0" fontId="8" fillId="33" borderId="12" xfId="37" applyFont="1" applyFill="1" applyBorder="1" applyAlignment="1">
      <alignment horizontal="left" vertical="center" wrapText="1"/>
      <protection/>
    </xf>
    <xf numFmtId="2" fontId="8" fillId="0" borderId="10" xfId="34" applyNumberFormat="1" applyFont="1" applyFill="1" applyBorder="1" applyAlignment="1">
      <alignment horizontal="center" vertical="center"/>
      <protection/>
    </xf>
    <xf numFmtId="0" fontId="18" fillId="0" borderId="10" xfId="34" applyFont="1" applyFill="1" applyBorder="1" applyAlignment="1">
      <alignment horizontal="center" vertical="center"/>
      <protection/>
    </xf>
    <xf numFmtId="2" fontId="9" fillId="0" borderId="10" xfId="34" applyNumberFormat="1" applyFont="1" applyFill="1" applyBorder="1" applyAlignment="1">
      <alignment horizontal="center" vertical="center"/>
      <protection/>
    </xf>
    <xf numFmtId="0" fontId="8" fillId="0" borderId="10" xfId="34" applyFont="1" applyFill="1" applyBorder="1" applyAlignment="1">
      <alignment horizontal="center"/>
      <protection/>
    </xf>
    <xf numFmtId="0" fontId="6" fillId="0" borderId="10" xfId="34" applyFont="1" applyFill="1" applyBorder="1" applyAlignment="1" applyProtection="1">
      <alignment horizontal="center" vertical="center" wrapText="1"/>
      <protection/>
    </xf>
    <xf numFmtId="0" fontId="6" fillId="0" borderId="10" xfId="34" applyFont="1" applyFill="1" applyBorder="1" applyAlignment="1" applyProtection="1">
      <alignment horizontal="center" vertical="center"/>
      <protection/>
    </xf>
    <xf numFmtId="0" fontId="14" fillId="0" borderId="13" xfId="34" applyFont="1" applyFill="1" applyBorder="1" applyAlignment="1">
      <alignment horizontal="center"/>
      <protection/>
    </xf>
    <xf numFmtId="0" fontId="8" fillId="33" borderId="10" xfId="34" applyFont="1" applyFill="1" applyBorder="1" applyAlignment="1">
      <alignment horizontal="left" vertical="center" wrapText="1"/>
      <protection/>
    </xf>
    <xf numFmtId="2" fontId="8" fillId="33" borderId="10" xfId="34" applyNumberFormat="1" applyFont="1" applyFill="1" applyBorder="1" applyAlignment="1">
      <alignment horizontal="center"/>
      <protection/>
    </xf>
    <xf numFmtId="2" fontId="8" fillId="33" borderId="10" xfId="37" applyNumberFormat="1" applyFont="1" applyFill="1" applyBorder="1" applyAlignment="1">
      <alignment horizontal="center" vertical="center" wrapText="1"/>
      <protection/>
    </xf>
    <xf numFmtId="2" fontId="8" fillId="33" borderId="10" xfId="34" applyNumberFormat="1" applyFont="1" applyFill="1" applyBorder="1" applyAlignment="1">
      <alignment horizontal="center" vertical="center"/>
      <protection/>
    </xf>
    <xf numFmtId="0" fontId="8" fillId="33" borderId="10" xfId="37" applyFont="1" applyFill="1" applyBorder="1" applyAlignment="1">
      <alignment horizontal="left" vertical="center" wrapText="1"/>
      <protection/>
    </xf>
    <xf numFmtId="0" fontId="8" fillId="33" borderId="10" xfId="34" applyFont="1" applyFill="1" applyBorder="1" applyAlignment="1">
      <alignment horizontal="center"/>
      <protection/>
    </xf>
    <xf numFmtId="10" fontId="14" fillId="33" borderId="10" xfId="34" applyNumberFormat="1" applyFont="1" applyFill="1" applyBorder="1" applyAlignment="1" applyProtection="1">
      <alignment horizontal="center" vertical="center" wrapText="1"/>
      <protection/>
    </xf>
    <xf numFmtId="0" fontId="8" fillId="33" borderId="10" xfId="34" applyNumberFormat="1" applyFont="1" applyFill="1" applyBorder="1" applyAlignment="1">
      <alignment horizontal="center" vertical="center"/>
      <protection/>
    </xf>
    <xf numFmtId="0" fontId="8" fillId="0" borderId="10" xfId="34" applyFont="1" applyFill="1" applyBorder="1" applyAlignment="1">
      <alignment horizontal="center" vertical="center"/>
      <protection/>
    </xf>
    <xf numFmtId="1" fontId="8" fillId="0" borderId="10" xfId="34" applyNumberFormat="1" applyFont="1" applyFill="1" applyBorder="1" applyAlignment="1">
      <alignment horizontal="center" vertical="center"/>
      <protection/>
    </xf>
    <xf numFmtId="0" fontId="14" fillId="33" borderId="0" xfId="34" applyFont="1" applyFill="1" applyAlignment="1">
      <alignment horizontal="center" vertical="center" wrapText="1"/>
      <protection/>
    </xf>
    <xf numFmtId="0" fontId="8" fillId="0" borderId="0" xfId="34" applyFont="1" applyFill="1" applyAlignment="1">
      <alignment horizontal="center" vertical="center" wrapText="1"/>
      <protection/>
    </xf>
    <xf numFmtId="49" fontId="8" fillId="0" borderId="10" xfId="37" applyNumberFormat="1" applyFont="1" applyFill="1" applyBorder="1" applyAlignment="1">
      <alignment horizontal="center" vertical="center" wrapText="1"/>
      <protection/>
    </xf>
    <xf numFmtId="0" fontId="8" fillId="33" borderId="10" xfId="34" applyFont="1" applyFill="1" applyBorder="1" applyAlignment="1">
      <alignment horizontal="center" vertical="center"/>
      <protection/>
    </xf>
    <xf numFmtId="0" fontId="18" fillId="33" borderId="10" xfId="34" applyFont="1" applyFill="1" applyBorder="1" applyAlignment="1">
      <alignment horizontal="center" vertical="center"/>
      <protection/>
    </xf>
    <xf numFmtId="2" fontId="18" fillId="33" borderId="10" xfId="34" applyNumberFormat="1" applyFont="1" applyFill="1" applyBorder="1" applyAlignment="1">
      <alignment horizontal="center" vertical="center"/>
      <protection/>
    </xf>
    <xf numFmtId="49" fontId="9" fillId="0" borderId="10" xfId="34" applyNumberFormat="1" applyFont="1" applyFill="1" applyBorder="1" applyAlignment="1">
      <alignment horizontal="center" vertical="center" wrapText="1"/>
      <protection/>
    </xf>
    <xf numFmtId="2" fontId="9" fillId="33" borderId="10" xfId="34" applyNumberFormat="1" applyFont="1" applyFill="1" applyBorder="1" applyAlignment="1">
      <alignment horizontal="center" vertical="center"/>
      <protection/>
    </xf>
    <xf numFmtId="0" fontId="8" fillId="0" borderId="10" xfId="34" applyFont="1" applyFill="1" applyBorder="1" applyAlignment="1">
      <alignment horizontal="center" vertical="center" wrapText="1"/>
      <protection/>
    </xf>
    <xf numFmtId="49" fontId="8" fillId="33" borderId="10" xfId="37" applyNumberFormat="1" applyFont="1" applyFill="1" applyBorder="1" applyAlignment="1">
      <alignment horizontal="center" vertical="center" wrapText="1"/>
      <protection/>
    </xf>
    <xf numFmtId="0" fontId="8" fillId="0" borderId="10" xfId="37" applyFont="1" applyFill="1" applyBorder="1" applyAlignment="1">
      <alignment horizontal="left" vertical="center" wrapText="1"/>
      <protection/>
    </xf>
    <xf numFmtId="2" fontId="8" fillId="34" borderId="10" xfId="34" applyNumberFormat="1" applyFont="1" applyFill="1" applyBorder="1" applyAlignment="1">
      <alignment horizontal="center" vertical="center"/>
      <protection/>
    </xf>
    <xf numFmtId="2" fontId="8" fillId="34" borderId="10" xfId="34" applyNumberFormat="1" applyFont="1" applyFill="1" applyBorder="1" applyAlignment="1">
      <alignment horizontal="center" vertical="center" wrapText="1"/>
      <protection/>
    </xf>
    <xf numFmtId="0" fontId="9" fillId="0" borderId="14" xfId="34" applyFont="1" applyFill="1" applyBorder="1" applyAlignment="1">
      <alignment horizontal="left"/>
      <protection/>
    </xf>
    <xf numFmtId="0" fontId="9" fillId="0" borderId="10" xfId="34" applyFont="1" applyFill="1" applyBorder="1" applyAlignment="1">
      <alignment horizontal="left"/>
      <protection/>
    </xf>
    <xf numFmtId="0" fontId="9" fillId="33" borderId="10" xfId="34" applyFont="1" applyFill="1" applyBorder="1" applyAlignment="1">
      <alignment horizontal="left"/>
      <protection/>
    </xf>
    <xf numFmtId="2" fontId="9" fillId="33" borderId="10" xfId="37" applyNumberFormat="1" applyFont="1" applyFill="1" applyBorder="1" applyAlignment="1">
      <alignment horizontal="center" vertical="center" wrapText="1"/>
      <protection/>
    </xf>
    <xf numFmtId="183" fontId="9" fillId="34" borderId="10" xfId="34" applyNumberFormat="1" applyFont="1" applyFill="1" applyBorder="1" applyAlignment="1">
      <alignment horizontal="center" vertical="center"/>
      <protection/>
    </xf>
    <xf numFmtId="179" fontId="9" fillId="34" borderId="10" xfId="34" applyNumberFormat="1" applyFont="1" applyFill="1" applyBorder="1" applyAlignment="1">
      <alignment horizontal="center" vertical="center" wrapText="1"/>
      <protection/>
    </xf>
    <xf numFmtId="0" fontId="9" fillId="34" borderId="10" xfId="34" applyFont="1" applyFill="1" applyBorder="1" applyAlignment="1">
      <alignment horizontal="center" vertical="center" wrapText="1"/>
      <protection/>
    </xf>
    <xf numFmtId="178" fontId="8" fillId="33" borderId="10" xfId="34" applyNumberFormat="1" applyFont="1" applyFill="1" applyBorder="1" applyAlignment="1">
      <alignment horizontal="center" vertical="center"/>
      <protection/>
    </xf>
    <xf numFmtId="179" fontId="8" fillId="0" borderId="10" xfId="34" applyNumberFormat="1" applyFont="1" applyFill="1" applyBorder="1" applyAlignment="1">
      <alignment horizontal="center" vertical="center" wrapText="1"/>
      <protection/>
    </xf>
    <xf numFmtId="0" fontId="21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2" fontId="22" fillId="33" borderId="10" xfId="0" applyNumberFormat="1" applyFont="1" applyFill="1" applyBorder="1" applyAlignment="1" applyProtection="1">
      <alignment horizontal="center" wrapText="1"/>
      <protection/>
    </xf>
    <xf numFmtId="0" fontId="18" fillId="33" borderId="10" xfId="34" applyFont="1" applyFill="1" applyBorder="1" applyAlignment="1">
      <alignment horizont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/>
      <protection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33" borderId="10" xfId="0" applyNumberFormat="1" applyFont="1" applyFill="1" applyBorder="1" applyAlignment="1" applyProtection="1">
      <alignment horizontal="center"/>
      <protection/>
    </xf>
    <xf numFmtId="2" fontId="9" fillId="33" borderId="10" xfId="0" applyNumberFormat="1" applyFont="1" applyFill="1" applyBorder="1" applyAlignment="1" applyProtection="1">
      <alignment horizontal="center"/>
      <protection/>
    </xf>
    <xf numFmtId="0" fontId="20" fillId="33" borderId="15" xfId="0" applyNumberFormat="1" applyFont="1" applyFill="1" applyBorder="1" applyAlignment="1" applyProtection="1">
      <alignment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>
      <alignment/>
    </xf>
    <xf numFmtId="2" fontId="8" fillId="33" borderId="10" xfId="60" applyNumberFormat="1" applyFont="1" applyFill="1" applyBorder="1" applyAlignment="1" applyProtection="1">
      <alignment horizontal="center" vertical="center"/>
      <protection/>
    </xf>
    <xf numFmtId="0" fontId="8" fillId="33" borderId="16" xfId="0" applyNumberFormat="1" applyFont="1" applyFill="1" applyBorder="1" applyAlignment="1" applyProtection="1">
      <alignment horizontal="center" vertical="center"/>
      <protection/>
    </xf>
    <xf numFmtId="0" fontId="8" fillId="33" borderId="15" xfId="63" applyNumberFormat="1" applyFont="1" applyFill="1" applyBorder="1" applyAlignment="1" applyProtection="1">
      <alignment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2" fontId="8" fillId="33" borderId="18" xfId="0" applyNumberFormat="1" applyFont="1" applyFill="1" applyBorder="1" applyAlignment="1" applyProtection="1">
      <alignment horizontal="center"/>
      <protection/>
    </xf>
    <xf numFmtId="0" fontId="8" fillId="33" borderId="0" xfId="63" applyNumberFormat="1" applyFont="1" applyFill="1" applyBorder="1" applyAlignment="1" applyProtection="1">
      <alignment horizontal="left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2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37" applyFont="1" applyFill="1" applyBorder="1" applyAlignment="1">
      <alignment/>
      <protection/>
    </xf>
    <xf numFmtId="2" fontId="8" fillId="0" borderId="10" xfId="34" applyNumberFormat="1" applyFont="1" applyFill="1" applyBorder="1" applyAlignment="1">
      <alignment horizontal="center"/>
      <protection/>
    </xf>
    <xf numFmtId="179" fontId="68" fillId="34" borderId="10" xfId="34" applyNumberFormat="1" applyFont="1" applyFill="1" applyBorder="1" applyAlignment="1">
      <alignment horizontal="center" vertical="center" wrapText="1"/>
      <protection/>
    </xf>
    <xf numFmtId="179" fontId="69" fillId="33" borderId="10" xfId="34" applyNumberFormat="1" applyFont="1" applyFill="1" applyBorder="1" applyAlignment="1">
      <alignment horizontal="center" vertical="center"/>
      <protection/>
    </xf>
    <xf numFmtId="179" fontId="8" fillId="33" borderId="10" xfId="34" applyNumberFormat="1" applyFont="1" applyFill="1" applyBorder="1" applyAlignment="1">
      <alignment horizontal="center" vertical="center"/>
      <protection/>
    </xf>
    <xf numFmtId="0" fontId="8" fillId="35" borderId="10" xfId="37" applyFont="1" applyFill="1" applyBorder="1" applyAlignment="1">
      <alignment vertical="center" wrapText="1"/>
      <protection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5" xfId="63" applyNumberFormat="1" applyFont="1" applyFill="1" applyBorder="1" applyAlignment="1" applyProtection="1">
      <alignment/>
      <protection/>
    </xf>
    <xf numFmtId="0" fontId="9" fillId="33" borderId="15" xfId="63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0" fontId="9" fillId="33" borderId="10" xfId="0" applyNumberFormat="1" applyFont="1" applyFill="1" applyBorder="1" applyAlignment="1" applyProtection="1">
      <alignment wrapText="1"/>
      <protection/>
    </xf>
    <xf numFmtId="0" fontId="13" fillId="33" borderId="0" xfId="34" applyFont="1" applyFill="1" applyAlignment="1">
      <alignment horizontal="center" vertical="center" wrapText="1"/>
      <protection/>
    </xf>
    <xf numFmtId="0" fontId="13" fillId="33" borderId="0" xfId="34" applyFont="1" applyFill="1">
      <alignment/>
      <protection/>
    </xf>
    <xf numFmtId="49" fontId="13" fillId="0" borderId="0" xfId="34" applyNumberFormat="1" applyFont="1" applyFill="1">
      <alignment/>
      <protection/>
    </xf>
    <xf numFmtId="0" fontId="13" fillId="0" borderId="0" xfId="34" applyFont="1" applyFill="1" applyAlignment="1">
      <alignment horizontal="center" vertical="center" wrapText="1"/>
      <protection/>
    </xf>
    <xf numFmtId="0" fontId="8" fillId="33" borderId="19" xfId="34" applyFont="1" applyFill="1" applyBorder="1" applyAlignment="1">
      <alignment horizontal="center" vertical="center" wrapText="1"/>
      <protection/>
    </xf>
    <xf numFmtId="0" fontId="8" fillId="0" borderId="0" xfId="34" applyFont="1" applyFill="1" applyBorder="1" applyAlignment="1">
      <alignment horizontal="center" vertical="center" wrapText="1"/>
      <protection/>
    </xf>
    <xf numFmtId="0" fontId="9" fillId="33" borderId="10" xfId="34" applyFont="1" applyFill="1" applyBorder="1" applyAlignment="1">
      <alignment horizontal="center" vertical="center"/>
      <protection/>
    </xf>
    <xf numFmtId="49" fontId="9" fillId="0" borderId="10" xfId="37" applyNumberFormat="1" applyFont="1" applyFill="1" applyBorder="1" applyAlignment="1">
      <alignment horizontal="center" vertical="center" wrapText="1"/>
      <protection/>
    </xf>
    <xf numFmtId="0" fontId="8" fillId="0" borderId="10" xfId="34" applyFont="1" applyFill="1" applyBorder="1" applyAlignment="1">
      <alignment horizontal="left"/>
      <protection/>
    </xf>
    <xf numFmtId="183" fontId="68" fillId="34" borderId="10" xfId="34" applyNumberFormat="1" applyFont="1" applyFill="1" applyBorder="1" applyAlignment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2" fontId="9" fillId="33" borderId="10" xfId="0" applyNumberFormat="1" applyFont="1" applyFill="1" applyBorder="1" applyAlignment="1" applyProtection="1">
      <alignment horizontal="center" wrapText="1"/>
      <protection/>
    </xf>
    <xf numFmtId="2" fontId="9" fillId="33" borderId="15" xfId="0" applyNumberFormat="1" applyFont="1" applyFill="1" applyBorder="1" applyAlignment="1" applyProtection="1">
      <alignment horizontal="center" vertical="center"/>
      <protection/>
    </xf>
    <xf numFmtId="2" fontId="9" fillId="0" borderId="10" xfId="34" applyNumberFormat="1" applyFont="1" applyFill="1" applyBorder="1" applyAlignment="1">
      <alignment horizontal="center"/>
      <protection/>
    </xf>
    <xf numFmtId="2" fontId="8" fillId="33" borderId="15" xfId="60" applyNumberFormat="1" applyFont="1" applyFill="1" applyBorder="1" applyAlignment="1" applyProtection="1">
      <alignment horizontal="center" vertical="center"/>
      <protection/>
    </xf>
    <xf numFmtId="2" fontId="8" fillId="33" borderId="15" xfId="60" applyNumberFormat="1" applyFont="1" applyFill="1" applyBorder="1" applyAlignment="1">
      <alignment horizontal="center" vertical="center"/>
      <protection/>
    </xf>
    <xf numFmtId="0" fontId="8" fillId="33" borderId="10" xfId="63" applyNumberFormat="1" applyFont="1" applyFill="1" applyBorder="1" applyAlignment="1" applyProtection="1">
      <alignment horizontal="left" vertical="center" wrapText="1"/>
      <protection/>
    </xf>
    <xf numFmtId="0" fontId="9" fillId="33" borderId="10" xfId="63" applyNumberFormat="1" applyFont="1" applyFill="1" applyBorder="1" applyAlignment="1" applyProtection="1">
      <alignment horizontal="left" vertical="center" wrapText="1"/>
      <protection/>
    </xf>
    <xf numFmtId="2" fontId="9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2" fontId="8" fillId="33" borderId="10" xfId="0" applyNumberFormat="1" applyFont="1" applyFill="1" applyBorder="1" applyAlignment="1" applyProtection="1">
      <alignment horizontal="center" wrapText="1"/>
      <protection/>
    </xf>
    <xf numFmtId="179" fontId="9" fillId="33" borderId="10" xfId="34" applyNumberFormat="1" applyFont="1" applyFill="1" applyBorder="1" applyAlignment="1">
      <alignment horizontal="center" vertical="center" wrapText="1"/>
      <protection/>
    </xf>
    <xf numFmtId="0" fontId="9" fillId="33" borderId="10" xfId="34" applyFont="1" applyFill="1" applyBorder="1" applyAlignment="1">
      <alignment horizontal="center" vertical="center" wrapText="1"/>
      <protection/>
    </xf>
    <xf numFmtId="0" fontId="18" fillId="33" borderId="10" xfId="34" applyFont="1" applyFill="1" applyBorder="1" applyAlignment="1">
      <alignment horizontal="center" vertical="center" wrapText="1"/>
      <protection/>
    </xf>
    <xf numFmtId="0" fontId="8" fillId="33" borderId="10" xfId="34" applyFont="1" applyFill="1" applyBorder="1" applyAlignment="1">
      <alignment horizontal="center" vertical="center" wrapText="1"/>
      <protection/>
    </xf>
    <xf numFmtId="49" fontId="8" fillId="33" borderId="10" xfId="37" applyNumberFormat="1" applyFont="1" applyFill="1" applyBorder="1" applyAlignment="1">
      <alignment horizontal="center" vertical="center"/>
      <protection/>
    </xf>
    <xf numFmtId="4" fontId="8" fillId="33" borderId="10" xfId="34" applyNumberFormat="1" applyFont="1" applyFill="1" applyBorder="1" applyAlignment="1" applyProtection="1">
      <alignment horizontal="center" vertical="center"/>
      <protection locked="0"/>
    </xf>
    <xf numFmtId="4" fontId="8" fillId="33" borderId="10" xfId="34" applyNumberFormat="1" applyFont="1" applyFill="1" applyBorder="1" applyAlignment="1" applyProtection="1">
      <alignment horizontal="center" vertical="center" wrapText="1"/>
      <protection locked="0"/>
    </xf>
    <xf numFmtId="0" fontId="8" fillId="33" borderId="14" xfId="34" applyFont="1" applyFill="1" applyBorder="1" applyAlignment="1">
      <alignment horizontal="center" vertical="center"/>
      <protection/>
    </xf>
    <xf numFmtId="183" fontId="8" fillId="0" borderId="10" xfId="34" applyNumberFormat="1" applyFont="1" applyFill="1" applyBorder="1" applyAlignment="1">
      <alignment horizontal="center" vertical="center"/>
      <protection/>
    </xf>
    <xf numFmtId="0" fontId="8" fillId="33" borderId="10" xfId="37" applyFont="1" applyFill="1" applyBorder="1" applyAlignment="1">
      <alignment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10" xfId="37" applyFont="1" applyFill="1" applyBorder="1" applyAlignment="1">
      <alignment wrapText="1"/>
      <protection/>
    </xf>
    <xf numFmtId="183" fontId="8" fillId="33" borderId="10" xfId="34" applyNumberFormat="1" applyFont="1" applyFill="1" applyBorder="1" applyAlignment="1">
      <alignment horizontal="center" vertical="center"/>
      <protection/>
    </xf>
    <xf numFmtId="0" fontId="8" fillId="33" borderId="10" xfId="34" applyFont="1" applyFill="1" applyBorder="1" applyAlignment="1">
      <alignment horizontal="center" vertical="center" wrapText="1"/>
      <protection/>
    </xf>
    <xf numFmtId="0" fontId="8" fillId="33" borderId="0" xfId="34" applyFont="1" applyFill="1" applyAlignment="1">
      <alignment horizontal="center" vertical="center" wrapText="1"/>
      <protection/>
    </xf>
    <xf numFmtId="0" fontId="14" fillId="33" borderId="0" xfId="34" applyFont="1" applyFill="1" applyBorder="1" applyAlignment="1">
      <alignment horizontal="center" vertical="center" wrapText="1"/>
      <protection/>
    </xf>
    <xf numFmtId="0" fontId="8" fillId="33" borderId="0" xfId="34" applyFont="1" applyFill="1" applyBorder="1" applyAlignment="1">
      <alignment horizontal="center" vertical="center" wrapText="1"/>
      <protection/>
    </xf>
    <xf numFmtId="0" fontId="13" fillId="0" borderId="0" xfId="34" applyFont="1" applyFill="1" applyBorder="1" applyAlignment="1">
      <alignment horizontal="center" vertical="center" wrapText="1"/>
      <protection/>
    </xf>
    <xf numFmtId="4" fontId="13" fillId="0" borderId="0" xfId="34" applyNumberFormat="1" applyFont="1" applyFill="1" applyBorder="1" applyAlignment="1">
      <alignment horizontal="center" vertical="center" wrapText="1"/>
      <protection/>
    </xf>
    <xf numFmtId="49" fontId="13" fillId="0" borderId="0" xfId="34" applyNumberFormat="1" applyFont="1" applyFill="1" applyBorder="1" applyAlignment="1">
      <alignment horizontal="center" vertical="center" wrapText="1"/>
      <protection/>
    </xf>
    <xf numFmtId="4" fontId="70" fillId="0" borderId="0" xfId="34" applyNumberFormat="1" applyFont="1" applyFill="1" applyBorder="1" applyAlignment="1">
      <alignment horizontal="center" vertical="center" wrapText="1"/>
      <protection/>
    </xf>
    <xf numFmtId="4" fontId="8" fillId="0" borderId="0" xfId="34" applyNumberFormat="1" applyFont="1" applyFill="1" applyBorder="1">
      <alignment/>
      <protection/>
    </xf>
    <xf numFmtId="4" fontId="8" fillId="33" borderId="0" xfId="34" applyNumberFormat="1" applyFont="1" applyFill="1" applyBorder="1">
      <alignment/>
      <protection/>
    </xf>
    <xf numFmtId="4" fontId="71" fillId="0" borderId="0" xfId="34" applyNumberFormat="1" applyFont="1" applyFill="1" applyBorder="1">
      <alignment/>
      <protection/>
    </xf>
    <xf numFmtId="0" fontId="8" fillId="0" borderId="0" xfId="34" applyFont="1" applyAlignment="1">
      <alignment horizontal="center" vertical="center" wrapText="1"/>
      <protection/>
    </xf>
    <xf numFmtId="0" fontId="8" fillId="0" borderId="0" xfId="34" applyFont="1" applyAlignment="1" applyProtection="1">
      <alignment horizontal="center" vertical="center"/>
      <protection/>
    </xf>
    <xf numFmtId="0" fontId="9" fillId="0" borderId="10" xfId="34" applyFont="1" applyFill="1" applyBorder="1" applyAlignment="1">
      <alignment horizontal="center" vertical="center"/>
      <protection/>
    </xf>
    <xf numFmtId="2" fontId="22" fillId="33" borderId="10" xfId="0" applyNumberFormat="1" applyFont="1" applyFill="1" applyBorder="1" applyAlignment="1" applyProtection="1">
      <alignment horizontal="center" vertical="center" wrapText="1"/>
      <protection/>
    </xf>
    <xf numFmtId="183" fontId="8" fillId="0" borderId="0" xfId="34" applyNumberFormat="1" applyFont="1" applyFill="1" applyAlignment="1">
      <alignment horizontal="center" vertical="center"/>
      <protection/>
    </xf>
    <xf numFmtId="0" fontId="8" fillId="0" borderId="0" xfId="34" applyFont="1" applyFill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17" fillId="0" borderId="0" xfId="34" applyFont="1" applyAlignment="1">
      <alignment horizontal="center" vertical="center"/>
      <protection/>
    </xf>
    <xf numFmtId="2" fontId="9" fillId="34" borderId="10" xfId="34" applyNumberFormat="1" applyFont="1" applyFill="1" applyBorder="1" applyAlignment="1">
      <alignment horizontal="center" vertical="center"/>
      <protection/>
    </xf>
    <xf numFmtId="4" fontId="8" fillId="33" borderId="10" xfId="34" applyNumberFormat="1" applyFont="1" applyFill="1" applyBorder="1" applyAlignment="1">
      <alignment horizontal="center" vertical="center"/>
      <protection/>
    </xf>
    <xf numFmtId="2" fontId="72" fillId="33" borderId="10" xfId="34" applyNumberFormat="1" applyFont="1" applyFill="1" applyBorder="1" applyAlignment="1">
      <alignment horizontal="center" vertical="center"/>
      <protection/>
    </xf>
    <xf numFmtId="4" fontId="8" fillId="33" borderId="20" xfId="34" applyNumberFormat="1" applyFont="1" applyFill="1" applyBorder="1" applyAlignment="1" applyProtection="1">
      <alignment horizontal="center" vertical="center" wrapText="1"/>
      <protection locked="0"/>
    </xf>
    <xf numFmtId="4" fontId="8" fillId="33" borderId="10" xfId="34" applyNumberFormat="1" applyFont="1" applyFill="1" applyBorder="1" applyAlignment="1">
      <alignment horizontal="center" vertical="center" wrapText="1"/>
      <protection/>
    </xf>
    <xf numFmtId="49" fontId="8" fillId="33" borderId="10" xfId="34" applyNumberFormat="1" applyFont="1" applyFill="1" applyBorder="1" applyAlignment="1">
      <alignment horizontal="center" vertical="center" wrapText="1"/>
      <protection/>
    </xf>
    <xf numFmtId="179" fontId="8" fillId="33" borderId="10" xfId="34" applyNumberFormat="1" applyFont="1" applyFill="1" applyBorder="1" applyAlignment="1">
      <alignment horizontal="center" vertical="center" wrapText="1"/>
      <protection/>
    </xf>
    <xf numFmtId="2" fontId="8" fillId="33" borderId="16" xfId="60" applyNumberFormat="1" applyFont="1" applyFill="1" applyBorder="1" applyAlignment="1" applyProtection="1">
      <alignment horizontal="center" vertical="center"/>
      <protection/>
    </xf>
    <xf numFmtId="2" fontId="8" fillId="33" borderId="21" xfId="0" applyNumberFormat="1" applyFont="1" applyFill="1" applyBorder="1" applyAlignment="1" applyProtection="1">
      <alignment horizontal="center" vertical="center"/>
      <protection/>
    </xf>
    <xf numFmtId="49" fontId="8" fillId="33" borderId="10" xfId="34" applyNumberFormat="1" applyFont="1" applyFill="1" applyBorder="1" applyAlignment="1">
      <alignment horizontal="center" vertical="center"/>
      <protection/>
    </xf>
    <xf numFmtId="49" fontId="9" fillId="33" borderId="10" xfId="34" applyNumberFormat="1" applyFont="1" applyFill="1" applyBorder="1" applyAlignment="1">
      <alignment horizontal="center" vertical="center"/>
      <protection/>
    </xf>
    <xf numFmtId="183" fontId="9" fillId="33" borderId="10" xfId="34" applyNumberFormat="1" applyFont="1" applyFill="1" applyBorder="1" applyAlignment="1">
      <alignment horizontal="center" vertical="center"/>
      <protection/>
    </xf>
    <xf numFmtId="0" fontId="8" fillId="33" borderId="10" xfId="37" applyFont="1" applyFill="1" applyBorder="1" applyAlignment="1">
      <alignment horizontal="left" wrapText="1"/>
      <protection/>
    </xf>
    <xf numFmtId="179" fontId="73" fillId="33" borderId="10" xfId="34" applyNumberFormat="1" applyFont="1" applyFill="1" applyBorder="1" applyAlignment="1">
      <alignment horizontal="center" vertical="center" wrapText="1"/>
      <protection/>
    </xf>
    <xf numFmtId="0" fontId="8" fillId="33" borderId="10" xfId="37" applyFont="1" applyFill="1" applyBorder="1" applyAlignment="1">
      <alignment vertical="center" wrapText="1"/>
      <protection/>
    </xf>
    <xf numFmtId="1" fontId="8" fillId="33" borderId="10" xfId="34" applyNumberFormat="1" applyFont="1" applyFill="1" applyBorder="1" applyAlignment="1">
      <alignment horizontal="center" vertical="center"/>
      <protection/>
    </xf>
    <xf numFmtId="183" fontId="8" fillId="33" borderId="10" xfId="34" applyNumberFormat="1" applyFont="1" applyFill="1" applyBorder="1" applyAlignment="1">
      <alignment horizontal="center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" fontId="8" fillId="33" borderId="15" xfId="63" applyNumberFormat="1" applyFont="1" applyFill="1" applyBorder="1" applyAlignment="1" applyProtection="1">
      <alignment horizontal="center" vertical="center"/>
      <protection/>
    </xf>
    <xf numFmtId="1" fontId="23" fillId="33" borderId="10" xfId="63" applyNumberFormat="1" applyFont="1" applyFill="1" applyBorder="1" applyAlignment="1" applyProtection="1">
      <alignment horizontal="center" vertical="center"/>
      <protection/>
    </xf>
    <xf numFmtId="1" fontId="8" fillId="33" borderId="10" xfId="63" applyNumberFormat="1" applyFont="1" applyFill="1" applyBorder="1" applyAlignment="1" applyProtection="1">
      <alignment horizontal="center" vertical="center"/>
      <protection/>
    </xf>
    <xf numFmtId="1" fontId="8" fillId="33" borderId="10" xfId="60" applyNumberFormat="1" applyFont="1" applyFill="1" applyBorder="1" applyAlignment="1" applyProtection="1">
      <alignment horizontal="center" vertical="center"/>
      <protection/>
    </xf>
    <xf numFmtId="1" fontId="20" fillId="33" borderId="16" xfId="63" applyNumberFormat="1" applyFont="1" applyFill="1" applyBorder="1" applyAlignment="1">
      <alignment horizontal="center" vertical="center"/>
      <protection/>
    </xf>
    <xf numFmtId="1" fontId="8" fillId="33" borderId="16" xfId="63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178" fontId="8" fillId="33" borderId="10" xfId="34" applyNumberFormat="1" applyFont="1" applyFill="1" applyBorder="1" applyAlignment="1">
      <alignment horizontal="center" vertical="center" wrapText="1"/>
      <protection/>
    </xf>
    <xf numFmtId="1" fontId="8" fillId="33" borderId="10" xfId="34" applyNumberFormat="1" applyFont="1" applyFill="1" applyBorder="1" applyAlignment="1">
      <alignment horizontal="center" vertical="center" wrapText="1"/>
      <protection/>
    </xf>
    <xf numFmtId="178" fontId="8" fillId="0" borderId="10" xfId="34" applyNumberFormat="1" applyFont="1" applyFill="1" applyBorder="1" applyAlignment="1">
      <alignment horizontal="center" vertical="center" wrapText="1"/>
      <protection/>
    </xf>
    <xf numFmtId="49" fontId="8" fillId="0" borderId="10" xfId="34" applyNumberFormat="1" applyFont="1" applyFill="1" applyBorder="1" applyAlignment="1">
      <alignment horizontal="center" vertical="center" wrapText="1"/>
      <protection/>
    </xf>
    <xf numFmtId="4" fontId="14" fillId="34" borderId="10" xfId="34" applyNumberFormat="1" applyFont="1" applyFill="1" applyBorder="1" applyAlignment="1" applyProtection="1">
      <alignment horizontal="center" vertical="center" wrapText="1"/>
      <protection/>
    </xf>
    <xf numFmtId="10" fontId="14" fillId="34" borderId="10" xfId="34" applyNumberFormat="1" applyFont="1" applyFill="1" applyBorder="1" applyAlignment="1" applyProtection="1">
      <alignment horizontal="center" vertical="center" wrapText="1"/>
      <protection/>
    </xf>
    <xf numFmtId="0" fontId="18" fillId="0" borderId="10" xfId="37" applyFont="1" applyFill="1" applyBorder="1" applyAlignment="1">
      <alignment horizontal="center" wrapText="1"/>
      <protection/>
    </xf>
    <xf numFmtId="0" fontId="18" fillId="33" borderId="10" xfId="37" applyFont="1" applyFill="1" applyBorder="1" applyAlignment="1">
      <alignment horizontal="center" wrapText="1"/>
      <protection/>
    </xf>
    <xf numFmtId="2" fontId="9" fillId="34" borderId="10" xfId="34" applyNumberFormat="1" applyFont="1" applyFill="1" applyBorder="1" applyAlignment="1">
      <alignment horizontal="center" vertical="center" wrapText="1"/>
      <protection/>
    </xf>
    <xf numFmtId="2" fontId="9" fillId="33" borderId="22" xfId="0" applyNumberFormat="1" applyFont="1" applyFill="1" applyBorder="1" applyAlignment="1" applyProtection="1">
      <alignment horizontal="center" vertical="center"/>
      <protection/>
    </xf>
    <xf numFmtId="2" fontId="8" fillId="33" borderId="23" xfId="0" applyNumberFormat="1" applyFont="1" applyFill="1" applyBorder="1" applyAlignment="1" applyProtection="1">
      <alignment horizontal="center" vertical="center"/>
      <protection/>
    </xf>
    <xf numFmtId="0" fontId="8" fillId="33" borderId="10" xfId="34" applyFont="1" applyFill="1" applyBorder="1" applyAlignment="1">
      <alignment horizontal="left" wrapText="1"/>
      <protection/>
    </xf>
    <xf numFmtId="0" fontId="8" fillId="33" borderId="11" xfId="34" applyFont="1" applyFill="1" applyBorder="1" applyAlignment="1">
      <alignment horizontal="left" wrapText="1"/>
      <protection/>
    </xf>
    <xf numFmtId="0" fontId="8" fillId="33" borderId="10" xfId="34" applyFont="1" applyFill="1" applyBorder="1" applyAlignment="1">
      <alignment horizontal="center" vertical="center" wrapText="1"/>
      <protection/>
    </xf>
    <xf numFmtId="0" fontId="8" fillId="33" borderId="10" xfId="34" applyFont="1" applyFill="1" applyBorder="1" applyAlignment="1">
      <alignment horizontal="center" vertical="center" wrapText="1"/>
      <protection/>
    </xf>
    <xf numFmtId="0" fontId="9" fillId="0" borderId="24" xfId="34" applyFont="1" applyFill="1" applyBorder="1" applyAlignment="1">
      <alignment horizontal="center" vertical="center"/>
      <protection/>
    </xf>
    <xf numFmtId="0" fontId="9" fillId="0" borderId="10" xfId="34" applyFont="1" applyFill="1" applyBorder="1" applyAlignment="1">
      <alignment horizontal="center" vertical="center" wrapText="1"/>
      <protection/>
    </xf>
    <xf numFmtId="2" fontId="8" fillId="0" borderId="10" xfId="34" applyNumberFormat="1" applyFont="1" applyFill="1" applyBorder="1" applyAlignment="1">
      <alignment horizontal="left"/>
      <protection/>
    </xf>
    <xf numFmtId="2" fontId="8" fillId="33" borderId="10" xfId="34" applyNumberFormat="1" applyFont="1" applyFill="1" applyBorder="1" applyAlignment="1">
      <alignment horizontal="center" vertical="center" wrapText="1"/>
      <protection/>
    </xf>
    <xf numFmtId="0" fontId="8" fillId="33" borderId="20" xfId="34" applyFont="1" applyFill="1" applyBorder="1" applyAlignment="1">
      <alignment horizontal="center" vertical="center" wrapText="1"/>
      <protection/>
    </xf>
    <xf numFmtId="0" fontId="8" fillId="33" borderId="25" xfId="34" applyFont="1" applyFill="1" applyBorder="1" applyAlignment="1">
      <alignment horizontal="center" vertical="center" wrapText="1"/>
      <protection/>
    </xf>
    <xf numFmtId="0" fontId="8" fillId="33" borderId="26" xfId="34" applyFont="1" applyFill="1" applyBorder="1" applyAlignment="1">
      <alignment horizontal="center" vertical="center" wrapText="1"/>
      <protection/>
    </xf>
    <xf numFmtId="0" fontId="8" fillId="0" borderId="24" xfId="34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center" vertical="center" wrapText="1"/>
    </xf>
    <xf numFmtId="0" fontId="75" fillId="33" borderId="10" xfId="0" applyFont="1" applyFill="1" applyBorder="1" applyAlignment="1">
      <alignment horizontal="left" vertical="center" wrapText="1"/>
    </xf>
    <xf numFmtId="0" fontId="8" fillId="34" borderId="0" xfId="34" applyFont="1" applyFill="1" applyAlignment="1">
      <alignment horizontal="center" vertical="center" wrapText="1"/>
      <protection/>
    </xf>
    <xf numFmtId="0" fontId="8" fillId="0" borderId="0" xfId="34" applyFont="1" applyFill="1">
      <alignment/>
      <protection/>
    </xf>
    <xf numFmtId="0" fontId="8" fillId="33" borderId="0" xfId="34" applyFont="1" applyFill="1">
      <alignment/>
      <protection/>
    </xf>
    <xf numFmtId="183" fontId="8" fillId="33" borderId="0" xfId="34" applyNumberFormat="1" applyFont="1" applyFill="1" applyBorder="1">
      <alignment/>
      <protection/>
    </xf>
    <xf numFmtId="0" fontId="8" fillId="33" borderId="0" xfId="34" applyFont="1" applyFill="1" applyBorder="1">
      <alignment/>
      <protection/>
    </xf>
    <xf numFmtId="183" fontId="68" fillId="0" borderId="0" xfId="34" applyNumberFormat="1" applyFont="1" applyFill="1" applyAlignment="1">
      <alignment horizontal="center" vertical="center" wrapText="1"/>
      <protection/>
    </xf>
    <xf numFmtId="183" fontId="68" fillId="33" borderId="0" xfId="34" applyNumberFormat="1" applyFont="1" applyFill="1" applyBorder="1" applyAlignment="1">
      <alignment horizontal="center" vertical="center" wrapText="1"/>
      <protection/>
    </xf>
    <xf numFmtId="183" fontId="68" fillId="33" borderId="0" xfId="34" applyNumberFormat="1" applyFont="1" applyFill="1" applyAlignment="1">
      <alignment horizontal="center" vertical="center" wrapText="1"/>
      <protection/>
    </xf>
    <xf numFmtId="0" fontId="9" fillId="0" borderId="0" xfId="65" applyFont="1" applyFill="1" applyBorder="1" applyAlignment="1" applyProtection="1">
      <alignment horizontal="left"/>
      <protection hidden="1"/>
    </xf>
    <xf numFmtId="183" fontId="8" fillId="0" borderId="0" xfId="34" applyNumberFormat="1" applyFont="1" applyAlignment="1">
      <alignment horizontal="center" vertical="center" wrapText="1"/>
      <protection/>
    </xf>
    <xf numFmtId="0" fontId="68" fillId="33" borderId="0" xfId="34" applyFont="1" applyFill="1" applyBorder="1" applyAlignment="1">
      <alignment horizontal="center" vertical="center" wrapText="1"/>
      <protection/>
    </xf>
    <xf numFmtId="0" fontId="8" fillId="33" borderId="0" xfId="34" applyFont="1" applyFill="1" applyAlignment="1" applyProtection="1">
      <alignment horizontal="center" vertical="center"/>
      <protection/>
    </xf>
    <xf numFmtId="0" fontId="24" fillId="33" borderId="0" xfId="34" applyFont="1" applyFill="1" applyAlignment="1" applyProtection="1">
      <alignment horizontal="center" vertical="center"/>
      <protection/>
    </xf>
    <xf numFmtId="0" fontId="24" fillId="0" borderId="0" xfId="34" applyFont="1" applyAlignment="1" applyProtection="1">
      <alignment horizontal="center" vertical="center"/>
      <protection/>
    </xf>
    <xf numFmtId="0" fontId="8" fillId="0" borderId="0" xfId="65" applyFont="1" applyFill="1" applyProtection="1">
      <alignment/>
      <protection hidden="1"/>
    </xf>
    <xf numFmtId="183" fontId="8" fillId="33" borderId="0" xfId="34" applyNumberFormat="1" applyFont="1" applyFill="1" applyAlignment="1">
      <alignment horizontal="center" vertical="center" wrapText="1"/>
      <protection/>
    </xf>
    <xf numFmtId="0" fontId="8" fillId="33" borderId="0" xfId="65" applyFont="1" applyFill="1" applyAlignment="1" applyProtection="1">
      <alignment/>
      <protection hidden="1"/>
    </xf>
    <xf numFmtId="0" fontId="8" fillId="0" borderId="0" xfId="65" applyFont="1" applyFill="1" applyAlignment="1" applyProtection="1">
      <alignment horizontal="left" indent="3"/>
      <protection hidden="1"/>
    </xf>
    <xf numFmtId="0" fontId="25" fillId="33" borderId="0" xfId="34" applyFont="1" applyFill="1">
      <alignment/>
      <protection/>
    </xf>
    <xf numFmtId="0" fontId="25" fillId="0" borderId="0" xfId="34" applyFont="1" applyFill="1">
      <alignment/>
      <protection/>
    </xf>
    <xf numFmtId="0" fontId="8" fillId="11" borderId="10" xfId="34" applyFont="1" applyFill="1" applyBorder="1" applyAlignment="1">
      <alignment horizontal="center" vertical="center"/>
      <protection/>
    </xf>
    <xf numFmtId="2" fontId="8" fillId="11" borderId="10" xfId="34" applyNumberFormat="1" applyFont="1" applyFill="1" applyBorder="1" applyAlignment="1">
      <alignment horizontal="center" vertical="center"/>
      <protection/>
    </xf>
    <xf numFmtId="0" fontId="18" fillId="11" borderId="10" xfId="34" applyFont="1" applyFill="1" applyBorder="1" applyAlignment="1">
      <alignment horizontal="center" vertical="center"/>
      <protection/>
    </xf>
    <xf numFmtId="1" fontId="8" fillId="11" borderId="10" xfId="34" applyNumberFormat="1" applyFont="1" applyFill="1" applyBorder="1" applyAlignment="1">
      <alignment horizontal="center" vertical="center"/>
      <protection/>
    </xf>
    <xf numFmtId="0" fontId="8" fillId="33" borderId="20" xfId="0" applyFont="1" applyFill="1" applyBorder="1" applyAlignment="1">
      <alignment horizontal="center" vertical="center" wrapText="1"/>
    </xf>
    <xf numFmtId="2" fontId="8" fillId="11" borderId="19" xfId="34" applyNumberFormat="1" applyFont="1" applyFill="1" applyBorder="1" applyAlignment="1">
      <alignment horizontal="center" vertical="center"/>
      <protection/>
    </xf>
    <xf numFmtId="4" fontId="8" fillId="11" borderId="10" xfId="34" applyNumberFormat="1" applyFont="1" applyFill="1" applyBorder="1" applyAlignment="1">
      <alignment horizontal="center" vertical="center"/>
      <protection/>
    </xf>
    <xf numFmtId="2" fontId="18" fillId="11" borderId="10" xfId="34" applyNumberFormat="1" applyFont="1" applyFill="1" applyBorder="1" applyAlignment="1">
      <alignment horizontal="center" vertical="center"/>
      <protection/>
    </xf>
    <xf numFmtId="49" fontId="8" fillId="11" borderId="12" xfId="34" applyNumberFormat="1" applyFont="1" applyFill="1" applyBorder="1" applyAlignment="1">
      <alignment vertical="center" wrapText="1"/>
      <protection/>
    </xf>
    <xf numFmtId="49" fontId="8" fillId="11" borderId="14" xfId="34" applyNumberFormat="1" applyFont="1" applyFill="1" applyBorder="1" applyAlignment="1">
      <alignment vertical="center" wrapText="1"/>
      <protection/>
    </xf>
    <xf numFmtId="2" fontId="9" fillId="11" borderId="10" xfId="34" applyNumberFormat="1" applyFont="1" applyFill="1" applyBorder="1" applyAlignment="1">
      <alignment horizontal="center" vertical="center"/>
      <protection/>
    </xf>
    <xf numFmtId="0" fontId="8" fillId="11" borderId="10" xfId="34" applyFont="1" applyFill="1" applyBorder="1" applyAlignment="1">
      <alignment horizontal="center" vertical="center" wrapText="1"/>
      <protection/>
    </xf>
    <xf numFmtId="49" fontId="8" fillId="33" borderId="10" xfId="34" applyNumberFormat="1" applyFont="1" applyFill="1" applyBorder="1" applyAlignment="1">
      <alignment horizontal="left" vertical="center" wrapText="1"/>
      <protection/>
    </xf>
    <xf numFmtId="2" fontId="8" fillId="33" borderId="10" xfId="34" applyNumberFormat="1" applyFont="1" applyFill="1" applyBorder="1" applyAlignment="1">
      <alignment horizontal="left" wrapText="1"/>
      <protection/>
    </xf>
    <xf numFmtId="2" fontId="18" fillId="34" borderId="10" xfId="34" applyNumberFormat="1" applyFont="1" applyFill="1" applyBorder="1" applyAlignment="1">
      <alignment horizontal="center"/>
      <protection/>
    </xf>
    <xf numFmtId="2" fontId="18" fillId="33" borderId="10" xfId="34" applyNumberFormat="1" applyFont="1" applyFill="1" applyBorder="1" applyAlignment="1">
      <alignment horizontal="center"/>
      <protection/>
    </xf>
    <xf numFmtId="2" fontId="18" fillId="33" borderId="14" xfId="34" applyNumberFormat="1" applyFont="1" applyFill="1" applyBorder="1" applyAlignment="1">
      <alignment horizontal="center"/>
      <protection/>
    </xf>
    <xf numFmtId="2" fontId="9" fillId="0" borderId="24" xfId="34" applyNumberFormat="1" applyFont="1" applyFill="1" applyBorder="1" applyAlignment="1">
      <alignment horizontal="center" vertical="center"/>
      <protection/>
    </xf>
    <xf numFmtId="2" fontId="9" fillId="0" borderId="10" xfId="34" applyNumberFormat="1" applyFont="1" applyFill="1" applyBorder="1" applyAlignment="1">
      <alignment horizontal="left" vertical="center" wrapText="1"/>
      <protection/>
    </xf>
    <xf numFmtId="2" fontId="8" fillId="33" borderId="10" xfId="34" applyNumberFormat="1" applyFont="1" applyFill="1" applyBorder="1" applyAlignment="1">
      <alignment horizontal="left"/>
      <protection/>
    </xf>
    <xf numFmtId="2" fontId="8" fillId="0" borderId="24" xfId="34" applyNumberFormat="1" applyFont="1" applyFill="1" applyBorder="1" applyAlignment="1">
      <alignment horizontal="center" vertical="center"/>
      <protection/>
    </xf>
    <xf numFmtId="2" fontId="8" fillId="0" borderId="10" xfId="34" applyNumberFormat="1" applyFont="1" applyFill="1" applyBorder="1" applyAlignment="1">
      <alignment horizontal="left" vertical="center" wrapText="1"/>
      <protection/>
    </xf>
    <xf numFmtId="2" fontId="9" fillId="33" borderId="10" xfId="34" applyNumberFormat="1" applyFont="1" applyFill="1" applyBorder="1" applyAlignment="1">
      <alignment horizontal="center" vertical="center" wrapText="1"/>
      <protection/>
    </xf>
    <xf numFmtId="2" fontId="8" fillId="17" borderId="12" xfId="34" applyNumberFormat="1" applyFont="1" applyFill="1" applyBorder="1" applyAlignment="1">
      <alignment horizontal="center" vertical="center"/>
      <protection/>
    </xf>
    <xf numFmtId="2" fontId="9" fillId="17" borderId="12" xfId="34" applyNumberFormat="1" applyFont="1" applyFill="1" applyBorder="1" applyAlignment="1">
      <alignment horizontal="center" vertical="center"/>
      <protection/>
    </xf>
    <xf numFmtId="2" fontId="8" fillId="17" borderId="12" xfId="34" applyNumberFormat="1" applyFont="1" applyFill="1" applyBorder="1" applyAlignment="1">
      <alignment horizontal="center" vertical="center" wrapText="1"/>
      <protection/>
    </xf>
    <xf numFmtId="2" fontId="9" fillId="17" borderId="12" xfId="34" applyNumberFormat="1" applyFont="1" applyFill="1" applyBorder="1" applyAlignment="1">
      <alignment horizontal="center" vertical="center" wrapText="1"/>
      <protection/>
    </xf>
    <xf numFmtId="2" fontId="71" fillId="17" borderId="12" xfId="34" applyNumberFormat="1" applyFont="1" applyFill="1" applyBorder="1" applyAlignment="1">
      <alignment horizontal="center" vertical="center" wrapText="1"/>
      <protection/>
    </xf>
    <xf numFmtId="2" fontId="18" fillId="17" borderId="12" xfId="34" applyNumberFormat="1" applyFont="1" applyFill="1" applyBorder="1" applyAlignment="1">
      <alignment horizontal="center" vertical="center"/>
      <protection/>
    </xf>
    <xf numFmtId="2" fontId="18" fillId="17" borderId="12" xfId="34" applyNumberFormat="1" applyFont="1" applyFill="1" applyBorder="1" applyAlignment="1">
      <alignment horizontal="center"/>
      <protection/>
    </xf>
    <xf numFmtId="4" fontId="9" fillId="34" borderId="10" xfId="34" applyNumberFormat="1" applyFont="1" applyFill="1" applyBorder="1" applyAlignment="1">
      <alignment horizontal="center" vertical="center"/>
      <protection/>
    </xf>
    <xf numFmtId="4" fontId="9" fillId="17" borderId="12" xfId="34" applyNumberFormat="1" applyFont="1" applyFill="1" applyBorder="1" applyAlignment="1">
      <alignment horizontal="center" vertical="center"/>
      <protection/>
    </xf>
    <xf numFmtId="0" fontId="8" fillId="33" borderId="10" xfId="34" applyFont="1" applyFill="1" applyBorder="1" applyAlignment="1">
      <alignment horizontal="center" vertical="center" wrapText="1"/>
      <protection/>
    </xf>
    <xf numFmtId="2" fontId="8" fillId="11" borderId="10" xfId="34" applyNumberFormat="1" applyFont="1" applyFill="1" applyBorder="1" applyAlignment="1">
      <alignment horizontal="left"/>
      <protection/>
    </xf>
    <xf numFmtId="2" fontId="9" fillId="33" borderId="14" xfId="34" applyNumberFormat="1" applyFont="1" applyFill="1" applyBorder="1" applyAlignment="1">
      <alignment horizontal="center" vertical="center" wrapText="1"/>
      <protection/>
    </xf>
    <xf numFmtId="2" fontId="8" fillId="11" borderId="12" xfId="34" applyNumberFormat="1" applyFont="1" applyFill="1" applyBorder="1" applyAlignment="1">
      <alignment horizontal="center" vertical="center"/>
      <protection/>
    </xf>
    <xf numFmtId="2" fontId="9" fillId="11" borderId="12" xfId="34" applyNumberFormat="1" applyFont="1" applyFill="1" applyBorder="1" applyAlignment="1">
      <alignment vertical="center"/>
      <protection/>
    </xf>
    <xf numFmtId="2" fontId="9" fillId="11" borderId="12" xfId="34" applyNumberFormat="1" applyFont="1" applyFill="1" applyBorder="1" applyAlignment="1">
      <alignment horizontal="center" vertical="center"/>
      <protection/>
    </xf>
    <xf numFmtId="2" fontId="9" fillId="11" borderId="12" xfId="34" applyNumberFormat="1" applyFont="1" applyFill="1" applyBorder="1" applyAlignment="1">
      <alignment horizontal="center" vertical="center" wrapText="1"/>
      <protection/>
    </xf>
    <xf numFmtId="1" fontId="8" fillId="11" borderId="14" xfId="34" applyNumberFormat="1" applyFont="1" applyFill="1" applyBorder="1" applyAlignment="1">
      <alignment horizontal="center" vertical="center"/>
      <protection/>
    </xf>
    <xf numFmtId="0" fontId="9" fillId="33" borderId="14" xfId="34" applyFont="1" applyFill="1" applyBorder="1" applyAlignment="1">
      <alignment horizontal="center" vertical="center" wrapText="1"/>
      <protection/>
    </xf>
    <xf numFmtId="0" fontId="9" fillId="11" borderId="24" xfId="34" applyFont="1" applyFill="1" applyBorder="1" applyAlignment="1">
      <alignment horizontal="left" vertical="center"/>
      <protection/>
    </xf>
    <xf numFmtId="0" fontId="9" fillId="11" borderId="12" xfId="34" applyFont="1" applyFill="1" applyBorder="1" applyAlignment="1">
      <alignment horizontal="left" vertical="center"/>
      <protection/>
    </xf>
    <xf numFmtId="183" fontId="9" fillId="11" borderId="12" xfId="34" applyNumberFormat="1" applyFont="1" applyFill="1" applyBorder="1" applyAlignment="1">
      <alignment horizontal="center" vertical="center"/>
      <protection/>
    </xf>
    <xf numFmtId="179" fontId="9" fillId="11" borderId="12" xfId="34" applyNumberFormat="1" applyFont="1" applyFill="1" applyBorder="1" applyAlignment="1">
      <alignment horizontal="center" vertical="center" wrapText="1"/>
      <protection/>
    </xf>
    <xf numFmtId="0" fontId="9" fillId="11" borderId="12" xfId="34" applyFont="1" applyFill="1" applyBorder="1" applyAlignment="1">
      <alignment horizontal="center" vertical="center" wrapText="1"/>
      <protection/>
    </xf>
    <xf numFmtId="183" fontId="9" fillId="11" borderId="10" xfId="34" applyNumberFormat="1" applyFont="1" applyFill="1" applyBorder="1" applyAlignment="1">
      <alignment horizontal="center" vertical="center"/>
      <protection/>
    </xf>
    <xf numFmtId="0" fontId="20" fillId="33" borderId="10" xfId="0" applyNumberFormat="1" applyFont="1" applyFill="1" applyBorder="1" applyAlignment="1" applyProtection="1">
      <alignment/>
      <protection/>
    </xf>
    <xf numFmtId="2" fontId="8" fillId="11" borderId="0" xfId="60" applyNumberFormat="1" applyFont="1" applyFill="1" applyBorder="1" applyAlignment="1" applyProtection="1">
      <alignment horizontal="center" vertical="center"/>
      <protection/>
    </xf>
    <xf numFmtId="1" fontId="8" fillId="11" borderId="0" xfId="63" applyNumberFormat="1" applyFont="1" applyFill="1" applyBorder="1" applyAlignment="1" applyProtection="1">
      <alignment horizontal="center" vertical="center"/>
      <protection/>
    </xf>
    <xf numFmtId="2" fontId="8" fillId="11" borderId="20" xfId="0" applyNumberFormat="1" applyFont="1" applyFill="1" applyBorder="1" applyAlignment="1" applyProtection="1">
      <alignment horizontal="center"/>
      <protection/>
    </xf>
    <xf numFmtId="2" fontId="8" fillId="11" borderId="10" xfId="0" applyNumberFormat="1" applyFont="1" applyFill="1" applyBorder="1" applyAlignment="1" applyProtection="1">
      <alignment horizontal="center"/>
      <protection/>
    </xf>
    <xf numFmtId="0" fontId="8" fillId="11" borderId="10" xfId="0" applyNumberFormat="1" applyFont="1" applyFill="1" applyBorder="1" applyAlignment="1" applyProtection="1">
      <alignment horizontal="center"/>
      <protection/>
    </xf>
    <xf numFmtId="0" fontId="9" fillId="11" borderId="10" xfId="34" applyFont="1" applyFill="1" applyBorder="1" applyAlignment="1">
      <alignment horizontal="center" vertical="center"/>
      <protection/>
    </xf>
    <xf numFmtId="0" fontId="9" fillId="11" borderId="10" xfId="34" applyFont="1" applyFill="1" applyBorder="1" applyAlignment="1">
      <alignment horizontal="left"/>
      <protection/>
    </xf>
    <xf numFmtId="2" fontId="8" fillId="11" borderId="10" xfId="60" applyNumberFormat="1" applyFont="1" applyFill="1" applyBorder="1" applyAlignment="1" applyProtection="1">
      <alignment horizontal="center" vertical="center"/>
      <protection/>
    </xf>
    <xf numFmtId="1" fontId="23" fillId="11" borderId="10" xfId="63" applyNumberFormat="1" applyFont="1" applyFill="1" applyBorder="1" applyAlignment="1" applyProtection="1">
      <alignment horizontal="center" vertical="center"/>
      <protection/>
    </xf>
    <xf numFmtId="2" fontId="9" fillId="11" borderId="10" xfId="0" applyNumberFormat="1" applyFont="1" applyFill="1" applyBorder="1" applyAlignment="1" applyProtection="1">
      <alignment horizontal="center"/>
      <protection/>
    </xf>
    <xf numFmtId="2" fontId="8" fillId="11" borderId="15" xfId="60" applyNumberFormat="1" applyFont="1" applyFill="1" applyBorder="1" applyAlignment="1">
      <alignment horizontal="center" vertical="center"/>
      <protection/>
    </xf>
    <xf numFmtId="1" fontId="20" fillId="11" borderId="16" xfId="63" applyNumberFormat="1" applyFont="1" applyFill="1" applyBorder="1" applyAlignment="1">
      <alignment horizontal="center" vertical="center"/>
      <protection/>
    </xf>
    <xf numFmtId="2" fontId="9" fillId="11" borderId="11" xfId="0" applyNumberFormat="1" applyFont="1" applyFill="1" applyBorder="1" applyAlignment="1" applyProtection="1">
      <alignment horizontal="center"/>
      <protection/>
    </xf>
    <xf numFmtId="0" fontId="9" fillId="33" borderId="0" xfId="34" applyFont="1" applyFill="1" applyAlignment="1">
      <alignment horizontal="center" vertical="center" wrapText="1"/>
      <protection/>
    </xf>
    <xf numFmtId="1" fontId="8" fillId="11" borderId="10" xfId="63" applyNumberFormat="1" applyFont="1" applyFill="1" applyBorder="1" applyAlignment="1" applyProtection="1">
      <alignment horizontal="center" vertical="center"/>
      <protection/>
    </xf>
    <xf numFmtId="2" fontId="9" fillId="11" borderId="10" xfId="0" applyNumberFormat="1" applyFont="1" applyFill="1" applyBorder="1" applyAlignment="1" applyProtection="1">
      <alignment horizontal="center" vertical="center"/>
      <protection/>
    </xf>
    <xf numFmtId="49" fontId="9" fillId="33" borderId="20" xfId="0" applyNumberFormat="1" applyFont="1" applyFill="1" applyBorder="1" applyAlignment="1" applyProtection="1">
      <alignment horizontal="center" vertical="center"/>
      <protection/>
    </xf>
    <xf numFmtId="0" fontId="8" fillId="33" borderId="20" xfId="0" applyNumberFormat="1" applyFont="1" applyFill="1" applyBorder="1" applyAlignment="1" applyProtection="1">
      <alignment horizontal="center" vertical="center"/>
      <protection/>
    </xf>
    <xf numFmtId="49" fontId="9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19" xfId="63" applyNumberFormat="1" applyFont="1" applyFill="1" applyBorder="1" applyAlignment="1" applyProtection="1">
      <alignment horizontal="left" vertical="center" wrapText="1"/>
      <protection/>
    </xf>
    <xf numFmtId="0" fontId="9" fillId="11" borderId="24" xfId="34" applyFont="1" applyFill="1" applyBorder="1" applyAlignment="1">
      <alignment vertical="center"/>
      <protection/>
    </xf>
    <xf numFmtId="0" fontId="9" fillId="11" borderId="12" xfId="34" applyFont="1" applyFill="1" applyBorder="1" applyAlignment="1">
      <alignment vertical="center"/>
      <protection/>
    </xf>
    <xf numFmtId="183" fontId="68" fillId="11" borderId="12" xfId="34" applyNumberFormat="1" applyFont="1" applyFill="1" applyBorder="1" applyAlignment="1">
      <alignment horizontal="center" vertical="center"/>
      <protection/>
    </xf>
    <xf numFmtId="2" fontId="8" fillId="11" borderId="10" xfId="0" applyNumberFormat="1" applyFont="1" applyFill="1" applyBorder="1" applyAlignment="1" applyProtection="1">
      <alignment horizontal="center" wrapText="1"/>
      <protection/>
    </xf>
    <xf numFmtId="1" fontId="8" fillId="11" borderId="10" xfId="0" applyNumberFormat="1" applyFont="1" applyFill="1" applyBorder="1" applyAlignment="1" applyProtection="1">
      <alignment horizontal="center" vertical="center" wrapText="1"/>
      <protection/>
    </xf>
    <xf numFmtId="2" fontId="22" fillId="11" borderId="10" xfId="0" applyNumberFormat="1" applyFont="1" applyFill="1" applyBorder="1" applyAlignment="1" applyProtection="1">
      <alignment horizontal="center" wrapText="1"/>
      <protection/>
    </xf>
    <xf numFmtId="179" fontId="9" fillId="11" borderId="10" xfId="34" applyNumberFormat="1" applyFont="1" applyFill="1" applyBorder="1" applyAlignment="1">
      <alignment horizontal="center" vertical="center" wrapText="1"/>
      <protection/>
    </xf>
    <xf numFmtId="178" fontId="8" fillId="11" borderId="10" xfId="34" applyNumberFormat="1" applyFont="1" applyFill="1" applyBorder="1" applyAlignment="1">
      <alignment horizontal="center" vertical="center" wrapText="1"/>
      <protection/>
    </xf>
    <xf numFmtId="0" fontId="9" fillId="11" borderId="10" xfId="34" applyFont="1" applyFill="1" applyBorder="1" applyAlignment="1">
      <alignment horizontal="center" vertical="center" wrapText="1"/>
      <protection/>
    </xf>
    <xf numFmtId="0" fontId="18" fillId="11" borderId="10" xfId="34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left" vertical="center" wrapText="1"/>
      <protection/>
    </xf>
    <xf numFmtId="49" fontId="8" fillId="33" borderId="14" xfId="0" applyNumberFormat="1" applyFont="1" applyFill="1" applyBorder="1" applyAlignment="1" applyProtection="1">
      <alignment horizontal="center" vertical="center" wrapText="1"/>
      <protection/>
    </xf>
    <xf numFmtId="179" fontId="68" fillId="11" borderId="12" xfId="34" applyNumberFormat="1" applyFont="1" applyFill="1" applyBorder="1" applyAlignment="1">
      <alignment horizontal="center" vertical="center" wrapText="1"/>
      <protection/>
    </xf>
    <xf numFmtId="0" fontId="8" fillId="11" borderId="10" xfId="37" applyFont="1" applyFill="1" applyBorder="1" applyAlignment="1">
      <alignment wrapText="1"/>
      <protection/>
    </xf>
    <xf numFmtId="0" fontId="8" fillId="11" borderId="10" xfId="34" applyFont="1" applyFill="1" applyBorder="1" applyAlignment="1">
      <alignment horizontal="center"/>
      <protection/>
    </xf>
    <xf numFmtId="183" fontId="8" fillId="11" borderId="10" xfId="34" applyNumberFormat="1" applyFont="1" applyFill="1" applyBorder="1" applyAlignment="1">
      <alignment horizontal="center" vertical="center"/>
      <protection/>
    </xf>
    <xf numFmtId="0" fontId="8" fillId="11" borderId="10" xfId="37" applyFont="1" applyFill="1" applyBorder="1" applyAlignment="1">
      <alignment vertical="center" wrapText="1"/>
      <protection/>
    </xf>
    <xf numFmtId="178" fontId="8" fillId="11" borderId="10" xfId="34" applyNumberFormat="1" applyFont="1" applyFill="1" applyBorder="1" applyAlignment="1">
      <alignment horizontal="center" vertical="center"/>
      <protection/>
    </xf>
    <xf numFmtId="179" fontId="69" fillId="11" borderId="10" xfId="34" applyNumberFormat="1" applyFont="1" applyFill="1" applyBorder="1" applyAlignment="1">
      <alignment horizontal="center" vertical="center"/>
      <protection/>
    </xf>
    <xf numFmtId="0" fontId="9" fillId="33" borderId="0" xfId="34" applyFont="1" applyFill="1" applyBorder="1" applyAlignment="1">
      <alignment horizontal="center" vertical="center" wrapText="1"/>
      <protection/>
    </xf>
    <xf numFmtId="0" fontId="9" fillId="11" borderId="10" xfId="34" applyFont="1" applyFill="1" applyBorder="1" applyAlignment="1">
      <alignment vertical="center"/>
      <protection/>
    </xf>
    <xf numFmtId="2" fontId="9" fillId="33" borderId="10" xfId="34" applyNumberFormat="1" applyFont="1" applyFill="1" applyBorder="1" applyAlignment="1">
      <alignment horizontal="center"/>
      <protection/>
    </xf>
    <xf numFmtId="4" fontId="8" fillId="34" borderId="10" xfId="34" applyNumberFormat="1" applyFont="1" applyFill="1" applyBorder="1" applyAlignment="1">
      <alignment horizontal="center" vertical="center" wrapText="1"/>
      <protection/>
    </xf>
    <xf numFmtId="4" fontId="71" fillId="34" borderId="10" xfId="34" applyNumberFormat="1" applyFont="1" applyFill="1" applyBorder="1" applyAlignment="1">
      <alignment horizontal="center" vertical="center" wrapText="1"/>
      <protection/>
    </xf>
    <xf numFmtId="4" fontId="18" fillId="34" borderId="10" xfId="34" applyNumberFormat="1" applyFont="1" applyFill="1" applyBorder="1" applyAlignment="1">
      <alignment horizontal="center" vertical="center"/>
      <protection/>
    </xf>
    <xf numFmtId="4" fontId="9" fillId="0" borderId="10" xfId="34" applyNumberFormat="1" applyFont="1" applyFill="1" applyBorder="1" applyAlignment="1">
      <alignment horizontal="center" vertical="center"/>
      <protection/>
    </xf>
    <xf numFmtId="4" fontId="9" fillId="0" borderId="10" xfId="34" applyNumberFormat="1" applyFont="1" applyFill="1" applyBorder="1" applyAlignment="1">
      <alignment horizontal="left"/>
      <protection/>
    </xf>
    <xf numFmtId="4" fontId="18" fillId="33" borderId="10" xfId="34" applyNumberFormat="1" applyFont="1" applyFill="1" applyBorder="1" applyAlignment="1">
      <alignment horizontal="center" vertical="center"/>
      <protection/>
    </xf>
    <xf numFmtId="4" fontId="18" fillId="0" borderId="10" xfId="34" applyNumberFormat="1" applyFont="1" applyFill="1" applyBorder="1" applyAlignment="1">
      <alignment horizontal="center" vertical="center"/>
      <protection/>
    </xf>
    <xf numFmtId="4" fontId="9" fillId="33" borderId="10" xfId="34" applyNumberFormat="1" applyFont="1" applyFill="1" applyBorder="1" applyAlignment="1">
      <alignment horizontal="center" vertical="center"/>
      <protection/>
    </xf>
    <xf numFmtId="4" fontId="8" fillId="0" borderId="10" xfId="34" applyNumberFormat="1" applyFont="1" applyFill="1" applyBorder="1" applyAlignment="1">
      <alignment horizontal="center" vertical="center"/>
      <protection/>
    </xf>
    <xf numFmtId="4" fontId="8" fillId="0" borderId="10" xfId="34" applyNumberFormat="1" applyFont="1" applyFill="1" applyBorder="1" applyAlignment="1">
      <alignment horizontal="center" vertical="center" wrapText="1"/>
      <protection/>
    </xf>
    <xf numFmtId="4" fontId="71" fillId="0" borderId="0" xfId="34" applyNumberFormat="1" applyFont="1" applyFill="1" applyAlignment="1">
      <alignment horizontal="center" vertical="center"/>
      <protection/>
    </xf>
    <xf numFmtId="2" fontId="8" fillId="0" borderId="10" xfId="34" applyNumberFormat="1" applyFont="1" applyFill="1" applyBorder="1" applyAlignment="1">
      <alignment horizontal="center" vertical="center" wrapText="1"/>
      <protection/>
    </xf>
    <xf numFmtId="0" fontId="8" fillId="33" borderId="11" xfId="34" applyFont="1" applyFill="1" applyBorder="1" applyAlignment="1">
      <alignment horizontal="left" vertical="center" wrapText="1"/>
      <protection/>
    </xf>
    <xf numFmtId="0" fontId="8" fillId="33" borderId="10" xfId="34" applyFont="1" applyFill="1" applyBorder="1" applyAlignment="1">
      <alignment horizontal="center" vertical="center" wrapText="1"/>
      <protection/>
    </xf>
    <xf numFmtId="2" fontId="13" fillId="0" borderId="0" xfId="34" applyNumberFormat="1" applyFont="1" applyFill="1" applyAlignment="1">
      <alignment horizontal="center" vertical="center" wrapText="1"/>
      <protection/>
    </xf>
    <xf numFmtId="183" fontId="8" fillId="0" borderId="0" xfId="34" applyNumberFormat="1" applyFont="1" applyFill="1" applyAlignment="1">
      <alignment horizontal="center" vertical="center" wrapText="1"/>
      <protection/>
    </xf>
    <xf numFmtId="0" fontId="8" fillId="33" borderId="10" xfId="34" applyFont="1" applyFill="1" applyBorder="1" applyAlignment="1">
      <alignment horizontal="center" vertical="center" wrapText="1"/>
      <protection/>
    </xf>
    <xf numFmtId="0" fontId="8" fillId="33" borderId="25" xfId="34" applyFont="1" applyFill="1" applyBorder="1" applyAlignment="1">
      <alignment horizontal="center" vertical="center" wrapText="1"/>
      <protection/>
    </xf>
    <xf numFmtId="4" fontId="8" fillId="0" borderId="10" xfId="34" applyNumberFormat="1" applyFont="1" applyFill="1" applyBorder="1" applyAlignment="1">
      <alignment horizontal="left"/>
      <protection/>
    </xf>
    <xf numFmtId="4" fontId="8" fillId="33" borderId="10" xfId="0" applyNumberFormat="1" applyFont="1" applyFill="1" applyBorder="1" applyAlignment="1">
      <alignment horizontal="center" vertical="center"/>
    </xf>
    <xf numFmtId="1" fontId="8" fillId="11" borderId="10" xfId="34" applyNumberFormat="1" applyFont="1" applyFill="1" applyBorder="1" applyAlignment="1">
      <alignment horizontal="center" vertical="center" wrapText="1"/>
      <protection/>
    </xf>
    <xf numFmtId="2" fontId="73" fillId="33" borderId="10" xfId="34" applyNumberFormat="1" applyFont="1" applyFill="1" applyBorder="1" applyAlignment="1">
      <alignment horizontal="center" vertical="center" wrapText="1"/>
      <protection/>
    </xf>
    <xf numFmtId="2" fontId="8" fillId="33" borderId="10" xfId="37" applyNumberFormat="1" applyFont="1" applyFill="1" applyBorder="1" applyAlignment="1">
      <alignment horizontal="left" vertical="center" wrapText="1"/>
      <protection/>
    </xf>
    <xf numFmtId="1" fontId="9" fillId="11" borderId="10" xfId="34" applyNumberFormat="1" applyFont="1" applyFill="1" applyBorder="1" applyAlignment="1">
      <alignment horizontal="left"/>
      <protection/>
    </xf>
    <xf numFmtId="1" fontId="8" fillId="33" borderId="10" xfId="34" applyNumberFormat="1" applyFont="1" applyFill="1" applyBorder="1" applyAlignment="1">
      <alignment horizontal="center"/>
      <protection/>
    </xf>
    <xf numFmtId="1" fontId="8" fillId="33" borderId="10" xfId="0" applyNumberFormat="1" applyFont="1" applyFill="1" applyBorder="1" applyAlignment="1" applyProtection="1">
      <alignment horizontal="center" wrapText="1"/>
      <protection/>
    </xf>
    <xf numFmtId="1" fontId="8" fillId="11" borderId="10" xfId="0" applyNumberFormat="1" applyFont="1" applyFill="1" applyBorder="1" applyAlignment="1" applyProtection="1">
      <alignment horizontal="center" wrapText="1"/>
      <protection/>
    </xf>
    <xf numFmtId="1" fontId="8" fillId="33" borderId="10" xfId="0" applyNumberFormat="1" applyFont="1" applyFill="1" applyBorder="1" applyAlignment="1" applyProtection="1">
      <alignment horizontal="center"/>
      <protection/>
    </xf>
    <xf numFmtId="1" fontId="8" fillId="11" borderId="10" xfId="0" applyNumberFormat="1" applyFont="1" applyFill="1" applyBorder="1" applyAlignment="1" applyProtection="1">
      <alignment horizontal="center"/>
      <protection/>
    </xf>
    <xf numFmtId="1" fontId="8" fillId="0" borderId="10" xfId="34" applyNumberFormat="1" applyFont="1" applyFill="1" applyBorder="1" applyAlignment="1">
      <alignment horizontal="center" vertical="center" wrapText="1"/>
      <protection/>
    </xf>
    <xf numFmtId="0" fontId="8" fillId="34" borderId="10" xfId="34" applyFont="1" applyFill="1" applyBorder="1" applyAlignment="1">
      <alignment horizontal="center" vertical="center" wrapText="1"/>
      <protection/>
    </xf>
    <xf numFmtId="0" fontId="9" fillId="33" borderId="0" xfId="34" applyFont="1" applyFill="1" applyBorder="1" applyAlignment="1">
      <alignment vertical="center"/>
      <protection/>
    </xf>
    <xf numFmtId="183" fontId="9" fillId="33" borderId="0" xfId="34" applyNumberFormat="1" applyFont="1" applyFill="1" applyBorder="1" applyAlignment="1">
      <alignment horizontal="center" vertical="center"/>
      <protection/>
    </xf>
    <xf numFmtId="179" fontId="9" fillId="33" borderId="0" xfId="34" applyNumberFormat="1" applyFont="1" applyFill="1" applyBorder="1" applyAlignment="1">
      <alignment horizontal="center" vertical="center" wrapText="1"/>
      <protection/>
    </xf>
    <xf numFmtId="4" fontId="9" fillId="11" borderId="10" xfId="34" applyNumberFormat="1" applyFont="1" applyFill="1" applyBorder="1" applyAlignment="1">
      <alignment horizontal="center" vertical="center"/>
      <protection/>
    </xf>
    <xf numFmtId="2" fontId="9" fillId="11" borderId="10" xfId="34" applyNumberFormat="1" applyFont="1" applyFill="1" applyBorder="1" applyAlignment="1">
      <alignment horizontal="center" vertical="center" wrapText="1"/>
      <protection/>
    </xf>
    <xf numFmtId="1" fontId="9" fillId="11" borderId="10" xfId="34" applyNumberFormat="1" applyFont="1" applyFill="1" applyBorder="1" applyAlignment="1">
      <alignment horizontal="center" vertical="center"/>
      <protection/>
    </xf>
    <xf numFmtId="2" fontId="9" fillId="11" borderId="19" xfId="34" applyNumberFormat="1" applyFont="1" applyFill="1" applyBorder="1" applyAlignment="1">
      <alignment horizontal="center" vertical="center"/>
      <protection/>
    </xf>
    <xf numFmtId="178" fontId="9" fillId="11" borderId="10" xfId="34" applyNumberFormat="1" applyFont="1" applyFill="1" applyBorder="1" applyAlignment="1">
      <alignment horizontal="center" vertical="center" wrapText="1"/>
      <protection/>
    </xf>
    <xf numFmtId="0" fontId="8" fillId="33" borderId="10" xfId="34" applyFont="1" applyFill="1" applyBorder="1" applyAlignment="1">
      <alignment horizontal="center" vertical="center" wrapText="1"/>
      <protection/>
    </xf>
    <xf numFmtId="0" fontId="13" fillId="0" borderId="0" xfId="34" applyFont="1" applyFill="1" applyAlignment="1">
      <alignment horizontal="center" vertical="center"/>
      <protection/>
    </xf>
    <xf numFmtId="0" fontId="5" fillId="11" borderId="10" xfId="34" applyFont="1" applyFill="1" applyBorder="1" applyAlignment="1">
      <alignment horizontal="center" vertical="center"/>
      <protection/>
    </xf>
    <xf numFmtId="0" fontId="5" fillId="33" borderId="10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/>
      <protection/>
    </xf>
    <xf numFmtId="2" fontId="5" fillId="33" borderId="10" xfId="34" applyNumberFormat="1" applyFont="1" applyFill="1" applyBorder="1" applyAlignment="1">
      <alignment horizontal="center" vertical="center"/>
      <protection/>
    </xf>
    <xf numFmtId="2" fontId="5" fillId="34" borderId="10" xfId="34" applyNumberFormat="1" applyFont="1" applyFill="1" applyBorder="1" applyAlignment="1">
      <alignment horizontal="center" vertical="center"/>
      <protection/>
    </xf>
    <xf numFmtId="2" fontId="5" fillId="17" borderId="12" xfId="34" applyNumberFormat="1" applyFont="1" applyFill="1" applyBorder="1" applyAlignment="1">
      <alignment horizontal="center" vertical="center"/>
      <protection/>
    </xf>
    <xf numFmtId="2" fontId="8" fillId="11" borderId="12" xfId="34" applyNumberFormat="1" applyFont="1" applyFill="1" applyBorder="1" applyAlignment="1">
      <alignment horizontal="center" vertical="center" wrapText="1"/>
      <protection/>
    </xf>
    <xf numFmtId="0" fontId="5" fillId="33" borderId="10" xfId="34" applyFont="1" applyFill="1" applyBorder="1" applyAlignment="1">
      <alignment horizontal="center" vertical="center" wrapText="1"/>
      <protection/>
    </xf>
    <xf numFmtId="0" fontId="8" fillId="11" borderId="12" xfId="34" applyFont="1" applyFill="1" applyBorder="1" applyAlignment="1">
      <alignment horizontal="center" vertical="center" wrapText="1"/>
      <protection/>
    </xf>
    <xf numFmtId="0" fontId="5" fillId="11" borderId="10" xfId="34" applyFont="1" applyFill="1" applyBorder="1" applyAlignment="1">
      <alignment horizontal="center" vertical="center" wrapText="1"/>
      <protection/>
    </xf>
    <xf numFmtId="2" fontId="9" fillId="0" borderId="24" xfId="34" applyNumberFormat="1" applyFont="1" applyFill="1" applyBorder="1" applyAlignment="1">
      <alignment/>
      <protection/>
    </xf>
    <xf numFmtId="2" fontId="9" fillId="0" borderId="12" xfId="34" applyNumberFormat="1" applyFont="1" applyFill="1" applyBorder="1" applyAlignment="1">
      <alignment/>
      <protection/>
    </xf>
    <xf numFmtId="2" fontId="9" fillId="0" borderId="14" xfId="34" applyNumberFormat="1" applyFont="1" applyFill="1" applyBorder="1" applyAlignment="1">
      <alignment/>
      <protection/>
    </xf>
    <xf numFmtId="0" fontId="9" fillId="0" borderId="24" xfId="34" applyFont="1" applyFill="1" applyBorder="1" applyAlignment="1">
      <alignment/>
      <protection/>
    </xf>
    <xf numFmtId="0" fontId="9" fillId="0" borderId="12" xfId="34" applyFont="1" applyFill="1" applyBorder="1" applyAlignment="1">
      <alignment/>
      <protection/>
    </xf>
    <xf numFmtId="0" fontId="9" fillId="0" borderId="14" xfId="34" applyFont="1" applyFill="1" applyBorder="1" applyAlignment="1">
      <alignment/>
      <protection/>
    </xf>
    <xf numFmtId="0" fontId="6" fillId="0" borderId="0" xfId="65" applyFont="1" applyFill="1" applyAlignment="1" applyProtection="1">
      <alignment horizontal="left"/>
      <protection hidden="1"/>
    </xf>
    <xf numFmtId="0" fontId="6" fillId="0" borderId="0" xfId="34" applyFont="1" applyFill="1" applyAlignment="1">
      <alignment horizontal="left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 locked="0"/>
    </xf>
    <xf numFmtId="0" fontId="14" fillId="0" borderId="10" xfId="34" applyFont="1" applyFill="1" applyBorder="1" applyAlignment="1" applyProtection="1">
      <alignment horizontal="center" vertical="center"/>
      <protection/>
    </xf>
    <xf numFmtId="0" fontId="15" fillId="0" borderId="10" xfId="34" applyFont="1" applyFill="1" applyBorder="1" applyAlignment="1" applyProtection="1">
      <alignment horizontal="center" vertical="center" wrapText="1"/>
      <protection/>
    </xf>
    <xf numFmtId="0" fontId="14" fillId="0" borderId="20" xfId="34" applyFont="1" applyFill="1" applyBorder="1" applyAlignment="1" applyProtection="1">
      <alignment horizontal="center" vertical="center" wrapText="1"/>
      <protection/>
    </xf>
    <xf numFmtId="0" fontId="14" fillId="0" borderId="19" xfId="34" applyFont="1" applyFill="1" applyBorder="1" applyAlignment="1" applyProtection="1">
      <alignment horizontal="center" vertical="center" wrapText="1"/>
      <protection/>
    </xf>
    <xf numFmtId="0" fontId="14" fillId="0" borderId="25" xfId="34" applyFont="1" applyFill="1" applyBorder="1" applyAlignment="1" applyProtection="1">
      <alignment horizontal="center" vertical="center" wrapText="1"/>
      <protection/>
    </xf>
    <xf numFmtId="0" fontId="14" fillId="0" borderId="10" xfId="34" applyFont="1" applyFill="1" applyBorder="1" applyAlignment="1" applyProtection="1">
      <alignment horizontal="center" vertical="center"/>
      <protection locked="0"/>
    </xf>
    <xf numFmtId="0" fontId="14" fillId="34" borderId="24" xfId="34" applyNumberFormat="1" applyFont="1" applyFill="1" applyBorder="1" applyAlignment="1" applyProtection="1">
      <alignment horizontal="center" vertical="center" wrapText="1"/>
      <protection/>
    </xf>
    <xf numFmtId="0" fontId="14" fillId="34" borderId="14" xfId="34" applyNumberFormat="1" applyFont="1" applyFill="1" applyBorder="1" applyAlignment="1" applyProtection="1">
      <alignment horizontal="center" vertical="center" wrapText="1"/>
      <protection/>
    </xf>
    <xf numFmtId="2" fontId="8" fillId="33" borderId="20" xfId="34" applyNumberFormat="1" applyFont="1" applyFill="1" applyBorder="1" applyAlignment="1">
      <alignment horizontal="center" vertical="center"/>
      <protection/>
    </xf>
    <xf numFmtId="2" fontId="8" fillId="33" borderId="19" xfId="34" applyNumberFormat="1" applyFont="1" applyFill="1" applyBorder="1" applyAlignment="1">
      <alignment horizontal="center" vertical="center"/>
      <protection/>
    </xf>
    <xf numFmtId="0" fontId="8" fillId="0" borderId="0" xfId="65" applyFont="1" applyAlignment="1" applyProtection="1">
      <alignment horizontal="left"/>
      <protection hidden="1"/>
    </xf>
    <xf numFmtId="0" fontId="15" fillId="0" borderId="24" xfId="34" applyFont="1" applyFill="1" applyBorder="1" applyAlignment="1" applyProtection="1">
      <alignment horizontal="left" vertical="center" wrapText="1"/>
      <protection/>
    </xf>
    <xf numFmtId="0" fontId="15" fillId="0" borderId="12" xfId="34" applyFont="1" applyFill="1" applyBorder="1" applyAlignment="1" applyProtection="1">
      <alignment horizontal="left" vertical="center" wrapText="1"/>
      <protection/>
    </xf>
    <xf numFmtId="0" fontId="15" fillId="0" borderId="14" xfId="34" applyFont="1" applyFill="1" applyBorder="1" applyAlignment="1" applyProtection="1">
      <alignment horizontal="left" vertical="center" wrapText="1"/>
      <protection/>
    </xf>
    <xf numFmtId="0" fontId="9" fillId="34" borderId="10" xfId="34" applyFont="1" applyFill="1" applyBorder="1" applyAlignment="1">
      <alignment vertical="center"/>
      <protection/>
    </xf>
    <xf numFmtId="2" fontId="9" fillId="34" borderId="24" xfId="34" applyNumberFormat="1" applyFont="1" applyFill="1" applyBorder="1" applyAlignment="1">
      <alignment vertical="center"/>
      <protection/>
    </xf>
    <xf numFmtId="2" fontId="9" fillId="34" borderId="12" xfId="34" applyNumberFormat="1" applyFont="1" applyFill="1" applyBorder="1" applyAlignment="1">
      <alignment vertical="center"/>
      <protection/>
    </xf>
    <xf numFmtId="2" fontId="9" fillId="34" borderId="14" xfId="34" applyNumberFormat="1" applyFont="1" applyFill="1" applyBorder="1" applyAlignment="1">
      <alignment vertical="center"/>
      <protection/>
    </xf>
    <xf numFmtId="2" fontId="9" fillId="0" borderId="24" xfId="34" applyNumberFormat="1" applyFont="1" applyFill="1" applyBorder="1" applyAlignment="1">
      <alignment horizontal="left"/>
      <protection/>
    </xf>
    <xf numFmtId="2" fontId="9" fillId="0" borderId="12" xfId="34" applyNumberFormat="1" applyFont="1" applyFill="1" applyBorder="1" applyAlignment="1">
      <alignment horizontal="left"/>
      <protection/>
    </xf>
    <xf numFmtId="2" fontId="9" fillId="0" borderId="14" xfId="34" applyNumberFormat="1" applyFont="1" applyFill="1" applyBorder="1" applyAlignment="1">
      <alignment horizontal="left"/>
      <protection/>
    </xf>
    <xf numFmtId="0" fontId="9" fillId="34" borderId="24" xfId="34" applyFont="1" applyFill="1" applyBorder="1" applyAlignment="1">
      <alignment horizontal="left" vertical="center"/>
      <protection/>
    </xf>
    <xf numFmtId="0" fontId="9" fillId="34" borderId="12" xfId="34" applyFont="1" applyFill="1" applyBorder="1" applyAlignment="1">
      <alignment horizontal="left" vertical="center"/>
      <protection/>
    </xf>
    <xf numFmtId="0" fontId="9" fillId="34" borderId="14" xfId="34" applyFont="1" applyFill="1" applyBorder="1" applyAlignment="1">
      <alignment horizontal="left" vertical="center"/>
      <protection/>
    </xf>
    <xf numFmtId="49" fontId="8" fillId="11" borderId="26" xfId="0" applyNumberFormat="1" applyFont="1" applyFill="1" applyBorder="1" applyAlignment="1" applyProtection="1">
      <alignment horizontal="left" vertical="center"/>
      <protection/>
    </xf>
    <xf numFmtId="49" fontId="8" fillId="11" borderId="0" xfId="0" applyNumberFormat="1" applyFont="1" applyFill="1" applyBorder="1" applyAlignment="1" applyProtection="1">
      <alignment horizontal="left" vertical="center"/>
      <protection/>
    </xf>
    <xf numFmtId="49" fontId="9" fillId="11" borderId="27" xfId="0" applyNumberFormat="1" applyFont="1" applyFill="1" applyBorder="1" applyAlignment="1" applyProtection="1">
      <alignment horizontal="left" vertical="center"/>
      <protection/>
    </xf>
    <xf numFmtId="49" fontId="9" fillId="11" borderId="11" xfId="0" applyNumberFormat="1" applyFont="1" applyFill="1" applyBorder="1" applyAlignment="1" applyProtection="1">
      <alignment horizontal="left" vertical="center"/>
      <protection/>
    </xf>
    <xf numFmtId="49" fontId="9" fillId="11" borderId="28" xfId="0" applyNumberFormat="1" applyFont="1" applyFill="1" applyBorder="1" applyAlignment="1" applyProtection="1">
      <alignment horizontal="left" vertical="center"/>
      <protection/>
    </xf>
    <xf numFmtId="49" fontId="8" fillId="11" borderId="24" xfId="0" applyNumberFormat="1" applyFont="1" applyFill="1" applyBorder="1" applyAlignment="1" applyProtection="1">
      <alignment horizontal="left" vertical="center" wrapText="1"/>
      <protection/>
    </xf>
    <xf numFmtId="49" fontId="8" fillId="11" borderId="12" xfId="0" applyNumberFormat="1" applyFont="1" applyFill="1" applyBorder="1" applyAlignment="1" applyProtection="1">
      <alignment horizontal="left" vertical="center" wrapText="1"/>
      <protection/>
    </xf>
    <xf numFmtId="49" fontId="8" fillId="11" borderId="14" xfId="0" applyNumberFormat="1" applyFont="1" applyFill="1" applyBorder="1" applyAlignment="1" applyProtection="1">
      <alignment horizontal="left" vertical="center" wrapText="1"/>
      <protection/>
    </xf>
    <xf numFmtId="0" fontId="8" fillId="33" borderId="20" xfId="34" applyFont="1" applyFill="1" applyBorder="1" applyAlignment="1">
      <alignment horizontal="center" vertical="center" wrapText="1"/>
      <protection/>
    </xf>
    <xf numFmtId="0" fontId="8" fillId="33" borderId="25" xfId="34" applyFont="1" applyFill="1" applyBorder="1" applyAlignment="1">
      <alignment horizontal="center" vertical="center" wrapText="1"/>
      <protection/>
    </xf>
    <xf numFmtId="0" fontId="8" fillId="33" borderId="19" xfId="34" applyFont="1" applyFill="1" applyBorder="1" applyAlignment="1">
      <alignment horizontal="center" vertical="center" wrapText="1"/>
      <protection/>
    </xf>
    <xf numFmtId="2" fontId="9" fillId="11" borderId="24" xfId="37" applyNumberFormat="1" applyFont="1" applyFill="1" applyBorder="1" applyAlignment="1">
      <alignment horizontal="left" vertical="center" wrapText="1"/>
      <protection/>
    </xf>
    <xf numFmtId="2" fontId="9" fillId="11" borderId="12" xfId="37" applyNumberFormat="1" applyFont="1" applyFill="1" applyBorder="1" applyAlignment="1">
      <alignment horizontal="left" vertical="center" wrapText="1"/>
      <protection/>
    </xf>
    <xf numFmtId="0" fontId="8" fillId="11" borderId="24" xfId="34" applyFont="1" applyFill="1" applyBorder="1" applyAlignment="1">
      <alignment horizontal="left" vertical="center" wrapText="1"/>
      <protection/>
    </xf>
    <xf numFmtId="0" fontId="8" fillId="11" borderId="12" xfId="34" applyFont="1" applyFill="1" applyBorder="1" applyAlignment="1">
      <alignment horizontal="left" vertical="center" wrapText="1"/>
      <protection/>
    </xf>
    <xf numFmtId="0" fontId="8" fillId="11" borderId="14" xfId="34" applyFont="1" applyFill="1" applyBorder="1" applyAlignment="1">
      <alignment horizontal="left" vertical="center" wrapText="1"/>
      <protection/>
    </xf>
    <xf numFmtId="2" fontId="9" fillId="34" borderId="24" xfId="37" applyNumberFormat="1" applyFont="1" applyFill="1" applyBorder="1" applyAlignment="1">
      <alignment horizontal="left" vertical="center" wrapText="1"/>
      <protection/>
    </xf>
    <xf numFmtId="2" fontId="9" fillId="34" borderId="14" xfId="37" applyNumberFormat="1" applyFont="1" applyFill="1" applyBorder="1" applyAlignment="1">
      <alignment horizontal="left" vertical="center" wrapText="1"/>
      <protection/>
    </xf>
    <xf numFmtId="49" fontId="8" fillId="11" borderId="24" xfId="34" applyNumberFormat="1" applyFont="1" applyFill="1" applyBorder="1" applyAlignment="1">
      <alignment horizontal="left" vertical="center" wrapText="1"/>
      <protection/>
    </xf>
    <xf numFmtId="49" fontId="8" fillId="11" borderId="12" xfId="34" applyNumberFormat="1" applyFont="1" applyFill="1" applyBorder="1" applyAlignment="1">
      <alignment horizontal="left" vertical="center" wrapText="1"/>
      <protection/>
    </xf>
    <xf numFmtId="0" fontId="8" fillId="33" borderId="24" xfId="34" applyFont="1" applyFill="1" applyBorder="1" applyAlignment="1">
      <alignment horizontal="center" vertical="center" wrapText="1"/>
      <protection/>
    </xf>
    <xf numFmtId="0" fontId="8" fillId="33" borderId="14" xfId="34" applyFont="1" applyFill="1" applyBorder="1" applyAlignment="1">
      <alignment horizontal="center" vertical="center" wrapText="1"/>
      <protection/>
    </xf>
    <xf numFmtId="0" fontId="8" fillId="0" borderId="20" xfId="34" applyFont="1" applyFill="1" applyBorder="1" applyAlignment="1">
      <alignment horizontal="center" vertical="center" wrapText="1"/>
      <protection/>
    </xf>
    <xf numFmtId="0" fontId="8" fillId="0" borderId="19" xfId="34" applyFont="1" applyFill="1" applyBorder="1" applyAlignment="1">
      <alignment horizontal="center" vertical="center" wrapText="1"/>
      <protection/>
    </xf>
    <xf numFmtId="0" fontId="8" fillId="33" borderId="20" xfId="34" applyFont="1" applyFill="1" applyBorder="1" applyAlignment="1">
      <alignment horizontal="center" vertical="center"/>
      <protection/>
    </xf>
    <xf numFmtId="0" fontId="8" fillId="33" borderId="19" xfId="34" applyFont="1" applyFill="1" applyBorder="1" applyAlignment="1">
      <alignment horizontal="center" vertical="center"/>
      <protection/>
    </xf>
    <xf numFmtId="4" fontId="8" fillId="33" borderId="20" xfId="34" applyNumberFormat="1" applyFont="1" applyFill="1" applyBorder="1" applyAlignment="1">
      <alignment horizontal="center" vertical="center"/>
      <protection/>
    </xf>
    <xf numFmtId="4" fontId="8" fillId="33" borderId="19" xfId="34" applyNumberFormat="1" applyFont="1" applyFill="1" applyBorder="1" applyAlignment="1">
      <alignment horizontal="center" vertical="center"/>
      <protection/>
    </xf>
    <xf numFmtId="49" fontId="9" fillId="11" borderId="26" xfId="0" applyNumberFormat="1" applyFont="1" applyFill="1" applyBorder="1" applyAlignment="1" applyProtection="1">
      <alignment horizontal="left" vertical="center"/>
      <protection/>
    </xf>
    <xf numFmtId="49" fontId="9" fillId="11" borderId="0" xfId="0" applyNumberFormat="1" applyFont="1" applyFill="1" applyBorder="1" applyAlignment="1" applyProtection="1">
      <alignment horizontal="left" vertical="center"/>
      <protection/>
    </xf>
    <xf numFmtId="49" fontId="9" fillId="11" borderId="29" xfId="0" applyNumberFormat="1" applyFont="1" applyFill="1" applyBorder="1" applyAlignment="1" applyProtection="1">
      <alignment horizontal="left" vertical="center"/>
      <protection/>
    </xf>
    <xf numFmtId="0" fontId="8" fillId="0" borderId="10" xfId="34" applyFont="1" applyFill="1" applyBorder="1" applyAlignment="1">
      <alignment horizontal="center" vertical="center" wrapText="1"/>
      <protection/>
    </xf>
    <xf numFmtId="0" fontId="8" fillId="33" borderId="10" xfId="34" applyFont="1" applyFill="1" applyBorder="1" applyAlignment="1">
      <alignment horizontal="center" vertical="center" wrapText="1"/>
      <protection/>
    </xf>
    <xf numFmtId="0" fontId="8" fillId="33" borderId="27" xfId="34" applyFont="1" applyFill="1" applyBorder="1" applyAlignment="1">
      <alignment horizontal="center" vertical="center" wrapText="1"/>
      <protection/>
    </xf>
    <xf numFmtId="0" fontId="8" fillId="33" borderId="11" xfId="34" applyFont="1" applyFill="1" applyBorder="1" applyAlignment="1">
      <alignment horizontal="center" vertical="center" wrapText="1"/>
      <protection/>
    </xf>
    <xf numFmtId="0" fontId="8" fillId="33" borderId="28" xfId="34" applyFont="1" applyFill="1" applyBorder="1" applyAlignment="1">
      <alignment horizontal="center" vertical="center" wrapText="1"/>
      <protection/>
    </xf>
    <xf numFmtId="0" fontId="8" fillId="0" borderId="24" xfId="34" applyFont="1" applyFill="1" applyBorder="1" applyAlignment="1">
      <alignment horizontal="center" vertical="center" wrapText="1"/>
      <protection/>
    </xf>
    <xf numFmtId="0" fontId="8" fillId="0" borderId="12" xfId="34" applyFont="1" applyFill="1" applyBorder="1" applyAlignment="1">
      <alignment horizontal="center" vertical="center" wrapText="1"/>
      <protection/>
    </xf>
    <xf numFmtId="0" fontId="8" fillId="0" borderId="14" xfId="34" applyFont="1" applyFill="1" applyBorder="1" applyAlignment="1">
      <alignment horizontal="center" vertical="center" wrapText="1"/>
      <protection/>
    </xf>
    <xf numFmtId="0" fontId="8" fillId="0" borderId="25" xfId="34" applyFont="1" applyFill="1" applyBorder="1" applyAlignment="1">
      <alignment horizontal="center" vertical="center" wrapText="1"/>
      <protection/>
    </xf>
    <xf numFmtId="0" fontId="9" fillId="11" borderId="10" xfId="34" applyFont="1" applyFill="1" applyBorder="1" applyAlignment="1">
      <alignment horizontal="left" vertical="center"/>
      <protection/>
    </xf>
    <xf numFmtId="2" fontId="9" fillId="17" borderId="24" xfId="37" applyNumberFormat="1" applyFont="1" applyFill="1" applyBorder="1" applyAlignment="1">
      <alignment horizontal="left" vertical="center" wrapText="1"/>
      <protection/>
    </xf>
    <xf numFmtId="2" fontId="9" fillId="17" borderId="12" xfId="37" applyNumberFormat="1" applyFont="1" applyFill="1" applyBorder="1" applyAlignment="1">
      <alignment horizontal="left" vertical="center" wrapText="1"/>
      <protection/>
    </xf>
    <xf numFmtId="49" fontId="9" fillId="11" borderId="24" xfId="0" applyNumberFormat="1" applyFont="1" applyFill="1" applyBorder="1" applyAlignment="1" applyProtection="1">
      <alignment horizontal="left" vertical="center"/>
      <protection/>
    </xf>
    <xf numFmtId="49" fontId="9" fillId="11" borderId="12" xfId="0" applyNumberFormat="1" applyFont="1" applyFill="1" applyBorder="1" applyAlignment="1" applyProtection="1">
      <alignment horizontal="left" vertical="center"/>
      <protection/>
    </xf>
    <xf numFmtId="49" fontId="9" fillId="11" borderId="14" xfId="0" applyNumberFormat="1" applyFont="1" applyFill="1" applyBorder="1" applyAlignment="1" applyProtection="1">
      <alignment horizontal="left" vertical="center"/>
      <protection/>
    </xf>
    <xf numFmtId="49" fontId="8" fillId="11" borderId="24" xfId="37" applyNumberFormat="1" applyFont="1" applyFill="1" applyBorder="1" applyAlignment="1">
      <alignment horizontal="left" vertical="center" wrapText="1"/>
      <protection/>
    </xf>
    <xf numFmtId="49" fontId="8" fillId="11" borderId="12" xfId="37" applyNumberFormat="1" applyFont="1" applyFill="1" applyBorder="1" applyAlignment="1">
      <alignment horizontal="left" vertical="center" wrapText="1"/>
      <protection/>
    </xf>
    <xf numFmtId="49" fontId="8" fillId="11" borderId="14" xfId="37" applyNumberFormat="1" applyFont="1" applyFill="1" applyBorder="1" applyAlignment="1">
      <alignment horizontal="left" vertical="center" wrapText="1"/>
      <protection/>
    </xf>
    <xf numFmtId="0" fontId="9" fillId="0" borderId="24" xfId="34" applyFont="1" applyFill="1" applyBorder="1" applyAlignment="1">
      <alignment horizontal="left"/>
      <protection/>
    </xf>
    <xf numFmtId="0" fontId="9" fillId="0" borderId="12" xfId="34" applyFont="1" applyFill="1" applyBorder="1" applyAlignment="1">
      <alignment horizontal="left"/>
      <protection/>
    </xf>
    <xf numFmtId="0" fontId="9" fillId="0" borderId="14" xfId="34" applyFont="1" applyFill="1" applyBorder="1" applyAlignment="1">
      <alignment horizontal="left"/>
      <protection/>
    </xf>
  </cellXfs>
  <cellStyles count="65">
    <cellStyle name="Normal" xfId="0"/>
    <cellStyle name="RowLevel_1" xfId="3"/>
    <cellStyle name="%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Iau?iue" xfId="34"/>
    <cellStyle name="Iau?iue 15" xfId="35"/>
    <cellStyle name="Iau?iue_Копия Invest 2011Чернігівобленерго_16 поквартально  с изм. НКРЕ" xfId="36"/>
    <cellStyle name="Iau?iue_Проект IP-2012  ЦЕК після НКРЕ  xls " xfId="37"/>
    <cellStyle name="TableStyleLight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3" xfId="62"/>
    <cellStyle name="Обычный 3 2" xfId="63"/>
    <cellStyle name="Обычный 9" xfId="64"/>
    <cellStyle name="Обычный_nkre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rgb="FF92D050"/>
  </sheetPr>
  <dimension ref="A1:M20"/>
  <sheetViews>
    <sheetView zoomScalePageLayoutView="0" workbookViewId="0" topLeftCell="A4">
      <selection activeCell="C22" sqref="C22"/>
    </sheetView>
  </sheetViews>
  <sheetFormatPr defaultColWidth="9.00390625" defaultRowHeight="12.75"/>
  <cols>
    <col min="1" max="1" width="4.00390625" style="27" customWidth="1"/>
    <col min="2" max="2" width="32.25390625" style="27" customWidth="1"/>
    <col min="3" max="3" width="15.75390625" style="27" customWidth="1"/>
    <col min="4" max="4" width="9.125" style="27" customWidth="1"/>
    <col min="5" max="5" width="16.25390625" style="27" customWidth="1"/>
    <col min="6" max="6" width="8.75390625" style="27" customWidth="1"/>
    <col min="7" max="7" width="16.75390625" style="27" customWidth="1"/>
    <col min="8" max="8" width="16.375" style="27" customWidth="1"/>
    <col min="9" max="9" width="15.25390625" style="27" customWidth="1"/>
    <col min="10" max="10" width="16.625" style="27" customWidth="1"/>
    <col min="11" max="16384" width="9.125" style="27" customWidth="1"/>
  </cols>
  <sheetData>
    <row r="1" spans="1:10" s="4" customFormat="1" ht="25.5" customHeight="1">
      <c r="A1" s="387" t="s">
        <v>23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s="4" customFormat="1" ht="15.75" customHeight="1">
      <c r="A2" s="388" t="s">
        <v>9</v>
      </c>
      <c r="B2" s="386" t="s">
        <v>10</v>
      </c>
      <c r="C2" s="385" t="s">
        <v>112</v>
      </c>
      <c r="D2" s="385"/>
      <c r="E2" s="386" t="s">
        <v>0</v>
      </c>
      <c r="F2" s="386"/>
      <c r="G2" s="386"/>
      <c r="H2" s="386"/>
      <c r="I2" s="386"/>
      <c r="J2" s="386"/>
    </row>
    <row r="3" spans="1:10" s="4" customFormat="1" ht="30.75" customHeight="1">
      <c r="A3" s="390"/>
      <c r="B3" s="386"/>
      <c r="C3" s="385"/>
      <c r="D3" s="385"/>
      <c r="E3" s="391">
        <v>2018</v>
      </c>
      <c r="F3" s="391"/>
      <c r="G3" s="6">
        <v>2019</v>
      </c>
      <c r="H3" s="6">
        <v>2020</v>
      </c>
      <c r="I3" s="6">
        <v>2021</v>
      </c>
      <c r="J3" s="6">
        <v>2022</v>
      </c>
    </row>
    <row r="4" spans="1:10" s="4" customFormat="1" ht="30" customHeight="1">
      <c r="A4" s="389"/>
      <c r="B4" s="386"/>
      <c r="C4" s="39" t="s">
        <v>62</v>
      </c>
      <c r="D4" s="39" t="s">
        <v>11</v>
      </c>
      <c r="E4" s="39" t="s">
        <v>62</v>
      </c>
      <c r="F4" s="39" t="s">
        <v>11</v>
      </c>
      <c r="G4" s="39" t="s">
        <v>62</v>
      </c>
      <c r="H4" s="39" t="s">
        <v>62</v>
      </c>
      <c r="I4" s="39" t="s">
        <v>62</v>
      </c>
      <c r="J4" s="38" t="s">
        <v>62</v>
      </c>
    </row>
    <row r="5" spans="1:10" s="4" customFormat="1" ht="45" customHeight="1">
      <c r="A5" s="5">
        <v>1</v>
      </c>
      <c r="B5" s="11" t="s">
        <v>25</v>
      </c>
      <c r="C5" s="26">
        <f aca="true" t="shared" si="0" ref="C5:C11">E5+G5+H5+I5+J5</f>
        <v>750991.1193533333</v>
      </c>
      <c r="D5" s="7">
        <f>C5/C12</f>
        <v>0.7499999957439578</v>
      </c>
      <c r="E5" s="9">
        <f>'6. Проведення закупівлі 186405'!F100</f>
        <v>139803.74935333332</v>
      </c>
      <c r="F5" s="47">
        <f>E5/E12</f>
        <v>0.7500000039609095</v>
      </c>
      <c r="G5" s="9">
        <v>141650.25</v>
      </c>
      <c r="H5" s="9">
        <v>146590.5</v>
      </c>
      <c r="I5" s="9">
        <v>153784.12</v>
      </c>
      <c r="J5" s="9">
        <v>169162.5</v>
      </c>
    </row>
    <row r="6" spans="1:10" s="4" customFormat="1" ht="30" customHeight="1">
      <c r="A6" s="5">
        <v>2</v>
      </c>
      <c r="B6" s="11" t="s">
        <v>1</v>
      </c>
      <c r="C6" s="26">
        <f t="shared" si="0"/>
        <v>150198.18</v>
      </c>
      <c r="D6" s="7">
        <f>C6/C12</f>
        <v>0.1499999553360234</v>
      </c>
      <c r="E6" s="9">
        <f>'6. Проведення закупівлі 186405'!F125</f>
        <v>27960.78</v>
      </c>
      <c r="F6" s="7">
        <f>E6/E12</f>
        <v>0.1500001624259022</v>
      </c>
      <c r="G6" s="9">
        <v>28330.05</v>
      </c>
      <c r="H6" s="9">
        <v>29318.1</v>
      </c>
      <c r="I6" s="9">
        <v>30756.75</v>
      </c>
      <c r="J6" s="9">
        <v>33832.5</v>
      </c>
    </row>
    <row r="7" spans="1:10" s="4" customFormat="1" ht="60" customHeight="1">
      <c r="A7" s="5">
        <v>3</v>
      </c>
      <c r="B7" s="11" t="s">
        <v>39</v>
      </c>
      <c r="C7" s="9">
        <f t="shared" si="0"/>
        <v>6973.46</v>
      </c>
      <c r="D7" s="7">
        <f>C7/C12</f>
        <v>0.00696425674756875</v>
      </c>
      <c r="E7" s="9">
        <f>'6. Проведення закупівлі 186405'!F129</f>
        <v>693.46</v>
      </c>
      <c r="F7" s="7">
        <f>E7/E12</f>
        <v>0.0037201792165978973</v>
      </c>
      <c r="G7" s="26">
        <v>980</v>
      </c>
      <c r="H7" s="26">
        <v>1100</v>
      </c>
      <c r="I7" s="26">
        <v>2000</v>
      </c>
      <c r="J7" s="26">
        <v>2200</v>
      </c>
    </row>
    <row r="8" spans="1:10" s="4" customFormat="1" ht="30" customHeight="1">
      <c r="A8" s="5">
        <v>4</v>
      </c>
      <c r="B8" s="11" t="s">
        <v>12</v>
      </c>
      <c r="C8" s="9">
        <f t="shared" si="0"/>
        <v>7889.83</v>
      </c>
      <c r="D8" s="7">
        <f>C8/C12</f>
        <v>0.007879417364503469</v>
      </c>
      <c r="E8" s="9">
        <f>'6. Проведення закупівлі 186405'!F155</f>
        <v>1839.89</v>
      </c>
      <c r="F8" s="7">
        <f>E8/E12</f>
        <v>0.00987038984054784</v>
      </c>
      <c r="G8" s="9">
        <v>1900.9</v>
      </c>
      <c r="H8" s="9">
        <v>2000</v>
      </c>
      <c r="I8" s="9">
        <v>999.49</v>
      </c>
      <c r="J8" s="9">
        <v>1149.55</v>
      </c>
    </row>
    <row r="9" spans="1:10" s="4" customFormat="1" ht="30" customHeight="1">
      <c r="A9" s="5">
        <v>5</v>
      </c>
      <c r="B9" s="11" t="s">
        <v>2</v>
      </c>
      <c r="C9" s="26">
        <f t="shared" si="0"/>
        <v>303</v>
      </c>
      <c r="D9" s="7">
        <f>C9/C12</f>
        <v>0.00030260011450748</v>
      </c>
      <c r="E9" s="9">
        <f>'6. Проведення закупівлі 186405'!F162</f>
        <v>48</v>
      </c>
      <c r="F9" s="7">
        <f>E9/E12</f>
        <v>0.00025750382487338717</v>
      </c>
      <c r="G9" s="9">
        <v>60</v>
      </c>
      <c r="H9" s="9">
        <v>75</v>
      </c>
      <c r="I9" s="9">
        <v>45</v>
      </c>
      <c r="J9" s="9">
        <v>75</v>
      </c>
    </row>
    <row r="10" spans="1:10" s="4" customFormat="1" ht="30" customHeight="1">
      <c r="A10" s="5">
        <v>6</v>
      </c>
      <c r="B10" s="11" t="s">
        <v>3</v>
      </c>
      <c r="C10" s="26">
        <f t="shared" si="0"/>
        <v>66455.5488</v>
      </c>
      <c r="D10" s="7">
        <f>C10/C12</f>
        <v>0.0663678438169552</v>
      </c>
      <c r="E10" s="26">
        <f>'6. Проведення закупівлі 186405'!F177</f>
        <v>14145.3988</v>
      </c>
      <c r="F10" s="7">
        <f>E10/E12</f>
        <v>0.07588529781998794</v>
      </c>
      <c r="G10" s="26">
        <v>14500</v>
      </c>
      <c r="H10" s="26">
        <v>14600</v>
      </c>
      <c r="I10" s="26">
        <v>12825.4</v>
      </c>
      <c r="J10" s="26">
        <v>10384.75</v>
      </c>
    </row>
    <row r="11" spans="1:10" s="4" customFormat="1" ht="30" customHeight="1">
      <c r="A11" s="5">
        <v>7</v>
      </c>
      <c r="B11" s="11" t="s">
        <v>13</v>
      </c>
      <c r="C11" s="26">
        <f t="shared" si="0"/>
        <v>18510.36</v>
      </c>
      <c r="D11" s="7">
        <f>C11/C12</f>
        <v>0.018485930876484084</v>
      </c>
      <c r="E11" s="26">
        <f>'6. Проведення закупівлі 186405'!F191</f>
        <v>1913.7199999999998</v>
      </c>
      <c r="F11" s="7">
        <f>E11/E12</f>
        <v>0.010266462911181218</v>
      </c>
      <c r="G11" s="26">
        <v>1445.8</v>
      </c>
      <c r="H11" s="26">
        <v>1770.4</v>
      </c>
      <c r="I11" s="26">
        <v>4634.74</v>
      </c>
      <c r="J11" s="26">
        <v>8745.7</v>
      </c>
    </row>
    <row r="12" spans="1:10" s="4" customFormat="1" ht="15" customHeight="1">
      <c r="A12" s="392" t="s">
        <v>27</v>
      </c>
      <c r="B12" s="393"/>
      <c r="C12" s="191">
        <f>C5+C6+C7+C8+C9+C10+C11</f>
        <v>1001321.4981533331</v>
      </c>
      <c r="D12" s="192">
        <f>SUM(D5:D11)</f>
        <v>1</v>
      </c>
      <c r="E12" s="191">
        <f>E5+E6+E7+E8+E9+E10+E11</f>
        <v>186404.99815333332</v>
      </c>
      <c r="F12" s="192">
        <f>SUM(F5:F11)</f>
        <v>1.0000000000000002</v>
      </c>
      <c r="G12" s="191">
        <f>G11+G10+G9+G8+G7+G6+G5</f>
        <v>188867</v>
      </c>
      <c r="H12" s="191">
        <f>H11+H10+H9+H8+H7+H6+H5</f>
        <v>195454</v>
      </c>
      <c r="I12" s="191">
        <v>205045.5</v>
      </c>
      <c r="J12" s="191">
        <v>225550</v>
      </c>
    </row>
    <row r="13" spans="1:10" s="28" customFormat="1" ht="15">
      <c r="A13" s="14"/>
      <c r="B13" s="14"/>
      <c r="C13" s="14"/>
      <c r="D13" s="14"/>
      <c r="E13" s="14"/>
      <c r="F13" s="14"/>
      <c r="G13" s="14"/>
      <c r="H13" s="14"/>
      <c r="I13" s="14"/>
      <c r="J13" s="10"/>
    </row>
    <row r="14" spans="1:10" ht="15">
      <c r="A14" s="8"/>
      <c r="B14" s="8"/>
      <c r="C14" s="8"/>
      <c r="D14" s="8"/>
      <c r="E14" s="8"/>
      <c r="F14" s="31"/>
      <c r="G14" s="8"/>
      <c r="H14" s="8"/>
      <c r="I14" s="8"/>
      <c r="J14" s="8"/>
    </row>
    <row r="15" spans="1:13" s="19" customFormat="1" ht="15">
      <c r="A15" s="17" t="s">
        <v>34</v>
      </c>
      <c r="B15" s="17"/>
      <c r="C15" s="16"/>
      <c r="D15" s="16"/>
      <c r="E15" s="18" t="s">
        <v>30</v>
      </c>
      <c r="F15" s="18"/>
      <c r="G15" s="40" t="s">
        <v>65</v>
      </c>
      <c r="H15" s="29"/>
      <c r="I15" s="18"/>
      <c r="J15" s="18"/>
      <c r="K15" s="16"/>
      <c r="L15" s="16"/>
      <c r="M15" s="16"/>
    </row>
    <row r="16" spans="1:13" s="21" customFormat="1" ht="15">
      <c r="A16" s="20" t="s">
        <v>35</v>
      </c>
      <c r="B16" s="20"/>
      <c r="C16" s="15"/>
      <c r="D16" s="15"/>
      <c r="E16" s="18" t="s">
        <v>31</v>
      </c>
      <c r="F16" s="18"/>
      <c r="G16" s="384" t="s">
        <v>36</v>
      </c>
      <c r="H16" s="384"/>
      <c r="I16" s="18"/>
      <c r="J16" s="18"/>
      <c r="K16" s="15"/>
      <c r="L16" s="15"/>
      <c r="M16" s="15"/>
    </row>
    <row r="17" spans="1:13" s="19" customFormat="1" ht="12.75">
      <c r="A17" s="22"/>
      <c r="B17" s="2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s="19" customFormat="1" ht="12.75">
      <c r="A18" s="383" t="s">
        <v>85</v>
      </c>
      <c r="B18" s="383"/>
      <c r="C18" s="383"/>
      <c r="D18" s="383"/>
      <c r="E18" s="25" t="s">
        <v>26</v>
      </c>
      <c r="F18" s="23"/>
      <c r="G18" s="16"/>
      <c r="H18" s="16"/>
      <c r="I18" s="16"/>
      <c r="J18" s="16"/>
      <c r="K18" s="16"/>
      <c r="L18" s="16"/>
      <c r="M18" s="16"/>
    </row>
    <row r="19" spans="1:13" s="19" customFormat="1" ht="12.75">
      <c r="A19" s="24"/>
      <c r="B19" s="2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6:13" s="19" customFormat="1" ht="12.75">
      <c r="F20" s="16"/>
      <c r="G20" s="16"/>
      <c r="H20" s="16"/>
      <c r="I20" s="16"/>
      <c r="J20" s="16"/>
      <c r="K20" s="16"/>
      <c r="L20" s="16"/>
      <c r="M20" s="16"/>
    </row>
  </sheetData>
  <sheetProtection/>
  <mergeCells count="9">
    <mergeCell ref="A18:D18"/>
    <mergeCell ref="A12:B12"/>
    <mergeCell ref="A1:J1"/>
    <mergeCell ref="E2:J2"/>
    <mergeCell ref="C2:D3"/>
    <mergeCell ref="A2:A4"/>
    <mergeCell ref="B2:B4"/>
    <mergeCell ref="E3:F3"/>
    <mergeCell ref="G16:H16"/>
  </mergeCells>
  <printOptions/>
  <pageMargins left="0.61" right="0.35" top="0.77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>
    <tabColor rgb="FF92D050"/>
  </sheetPr>
  <dimension ref="A1:BC211"/>
  <sheetViews>
    <sheetView tabSelected="1" view="pageBreakPreview" zoomScale="58" zoomScaleNormal="60" zoomScaleSheetLayoutView="58" workbookViewId="0" topLeftCell="A1">
      <pane xSplit="2" ySplit="7" topLeftCell="C107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L193" sqref="L193:R193"/>
    </sheetView>
  </sheetViews>
  <sheetFormatPr defaultColWidth="9.00390625" defaultRowHeight="12.75"/>
  <cols>
    <col min="1" max="1" width="9.75390625" style="13" customWidth="1"/>
    <col min="2" max="2" width="56.625" style="13" customWidth="1"/>
    <col min="3" max="3" width="15.125" style="13" customWidth="1"/>
    <col min="4" max="4" width="12.875" style="13" customWidth="1"/>
    <col min="5" max="5" width="14.125" style="13" customWidth="1"/>
    <col min="6" max="6" width="20.375" style="13" customWidth="1"/>
    <col min="7" max="7" width="13.25390625" style="13" customWidth="1"/>
    <col min="8" max="8" width="15.75390625" style="13" customWidth="1"/>
    <col min="9" max="9" width="8.25390625" style="13" customWidth="1"/>
    <col min="10" max="10" width="14.125" style="13" customWidth="1"/>
    <col min="11" max="11" width="9.00390625" style="52" customWidth="1"/>
    <col min="12" max="12" width="15.625" style="52" customWidth="1"/>
    <col min="13" max="13" width="9.00390625" style="52" customWidth="1"/>
    <col min="14" max="14" width="14.00390625" style="52" customWidth="1"/>
    <col min="15" max="15" width="9.00390625" style="52" customWidth="1"/>
    <col min="16" max="16" width="14.375" style="52" customWidth="1"/>
    <col min="17" max="17" width="9.00390625" style="52" customWidth="1"/>
    <col min="18" max="18" width="13.375" style="52" customWidth="1"/>
    <col min="19" max="19" width="14.75390625" style="13" customWidth="1"/>
    <col min="20" max="20" width="14.00390625" style="13" customWidth="1"/>
    <col min="21" max="21" width="12.75390625" style="13" customWidth="1"/>
    <col min="22" max="22" width="13.75390625" style="13" customWidth="1"/>
    <col min="23" max="23" width="71.75390625" style="51" hidden="1" customWidth="1"/>
    <col min="24" max="24" width="50.75390625" style="51" hidden="1" customWidth="1"/>
    <col min="25" max="27" width="19.375" style="51" customWidth="1"/>
    <col min="28" max="41" width="9.125" style="51" customWidth="1"/>
    <col min="42" max="16384" width="9.125" style="13" customWidth="1"/>
  </cols>
  <sheetData>
    <row r="1" spans="1:41" s="12" customFormat="1" ht="18.75">
      <c r="A1" s="397" t="s">
        <v>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9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</row>
    <row r="2" spans="1:41" s="111" customFormat="1" ht="15.75" customHeight="1">
      <c r="A2" s="441" t="s">
        <v>9</v>
      </c>
      <c r="B2" s="441" t="s">
        <v>8</v>
      </c>
      <c r="C2" s="442" t="s">
        <v>18</v>
      </c>
      <c r="D2" s="446" t="s">
        <v>27</v>
      </c>
      <c r="E2" s="447"/>
      <c r="F2" s="448"/>
      <c r="G2" s="443" t="s">
        <v>67</v>
      </c>
      <c r="H2" s="444"/>
      <c r="I2" s="444"/>
      <c r="J2" s="445"/>
      <c r="K2" s="441" t="s">
        <v>5</v>
      </c>
      <c r="L2" s="441"/>
      <c r="M2" s="441"/>
      <c r="N2" s="441"/>
      <c r="O2" s="441"/>
      <c r="P2" s="441"/>
      <c r="Q2" s="441"/>
      <c r="R2" s="441"/>
      <c r="S2" s="441" t="s">
        <v>19</v>
      </c>
      <c r="T2" s="432" t="s">
        <v>29</v>
      </c>
      <c r="U2" s="432" t="s">
        <v>24</v>
      </c>
      <c r="V2" s="432" t="s">
        <v>6</v>
      </c>
      <c r="W2" s="442" t="s">
        <v>22</v>
      </c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</row>
    <row r="3" spans="1:41" s="111" customFormat="1" ht="31.5" customHeight="1">
      <c r="A3" s="441"/>
      <c r="B3" s="441"/>
      <c r="C3" s="442"/>
      <c r="D3" s="432" t="s">
        <v>63</v>
      </c>
      <c r="E3" s="442" t="s">
        <v>32</v>
      </c>
      <c r="F3" s="441" t="s">
        <v>64</v>
      </c>
      <c r="G3" s="430" t="s">
        <v>68</v>
      </c>
      <c r="H3" s="431"/>
      <c r="I3" s="430" t="s">
        <v>69</v>
      </c>
      <c r="J3" s="431"/>
      <c r="K3" s="441" t="s">
        <v>15</v>
      </c>
      <c r="L3" s="441"/>
      <c r="M3" s="441" t="s">
        <v>16</v>
      </c>
      <c r="N3" s="441"/>
      <c r="O3" s="441" t="s">
        <v>17</v>
      </c>
      <c r="P3" s="441"/>
      <c r="Q3" s="441" t="s">
        <v>28</v>
      </c>
      <c r="R3" s="441"/>
      <c r="S3" s="441"/>
      <c r="T3" s="449"/>
      <c r="U3" s="449"/>
      <c r="V3" s="449"/>
      <c r="W3" s="442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:41" s="111" customFormat="1" ht="36.75" customHeight="1">
      <c r="A4" s="441"/>
      <c r="B4" s="441"/>
      <c r="C4" s="442"/>
      <c r="D4" s="433"/>
      <c r="E4" s="442"/>
      <c r="F4" s="441"/>
      <c r="G4" s="110" t="s">
        <v>14</v>
      </c>
      <c r="H4" s="110" t="s">
        <v>70</v>
      </c>
      <c r="I4" s="110" t="s">
        <v>14</v>
      </c>
      <c r="J4" s="110" t="s">
        <v>70</v>
      </c>
      <c r="K4" s="59" t="s">
        <v>14</v>
      </c>
      <c r="L4" s="59" t="s">
        <v>64</v>
      </c>
      <c r="M4" s="59" t="s">
        <v>14</v>
      </c>
      <c r="N4" s="59" t="s">
        <v>64</v>
      </c>
      <c r="O4" s="59" t="s">
        <v>14</v>
      </c>
      <c r="P4" s="59" t="s">
        <v>64</v>
      </c>
      <c r="Q4" s="59" t="s">
        <v>14</v>
      </c>
      <c r="R4" s="59" t="s">
        <v>64</v>
      </c>
      <c r="S4" s="441"/>
      <c r="T4" s="433"/>
      <c r="U4" s="433"/>
      <c r="V4" s="433"/>
      <c r="W4" s="442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</row>
    <row r="5" spans="1:41" s="111" customFormat="1" ht="15.75">
      <c r="A5" s="59">
        <v>1</v>
      </c>
      <c r="B5" s="59">
        <v>2</v>
      </c>
      <c r="C5" s="132">
        <v>3</v>
      </c>
      <c r="D5" s="59">
        <v>4</v>
      </c>
      <c r="E5" s="132" t="s">
        <v>71</v>
      </c>
      <c r="F5" s="59" t="s">
        <v>72</v>
      </c>
      <c r="G5" s="132">
        <v>7</v>
      </c>
      <c r="H5" s="132">
        <v>8</v>
      </c>
      <c r="I5" s="132">
        <v>9</v>
      </c>
      <c r="J5" s="132">
        <v>10</v>
      </c>
      <c r="K5" s="59">
        <v>11</v>
      </c>
      <c r="L5" s="59">
        <v>12</v>
      </c>
      <c r="M5" s="59">
        <v>13</v>
      </c>
      <c r="N5" s="59">
        <v>14</v>
      </c>
      <c r="O5" s="59">
        <v>15</v>
      </c>
      <c r="P5" s="59">
        <v>16</v>
      </c>
      <c r="Q5" s="59">
        <v>17</v>
      </c>
      <c r="R5" s="59">
        <v>18</v>
      </c>
      <c r="S5" s="59">
        <v>19</v>
      </c>
      <c r="T5" s="59">
        <v>20</v>
      </c>
      <c r="U5" s="59">
        <v>21</v>
      </c>
      <c r="V5" s="59">
        <v>22</v>
      </c>
      <c r="W5" s="143">
        <v>23</v>
      </c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</row>
    <row r="6" spans="1:41" s="52" customFormat="1" ht="15.75">
      <c r="A6" s="459" t="s">
        <v>304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1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</row>
    <row r="7" spans="1:41" s="52" customFormat="1" ht="31.5">
      <c r="A7" s="202" t="s">
        <v>41</v>
      </c>
      <c r="B7" s="203" t="s">
        <v>119</v>
      </c>
      <c r="C7" s="65"/>
      <c r="D7" s="330"/>
      <c r="E7" s="330"/>
      <c r="F7" s="329">
        <f>F8+F16</f>
        <v>126910.7959</v>
      </c>
      <c r="G7" s="330"/>
      <c r="H7" s="329">
        <f>H8+H16</f>
        <v>126910.7959</v>
      </c>
      <c r="I7" s="330"/>
      <c r="J7" s="330"/>
      <c r="K7" s="329"/>
      <c r="L7" s="329">
        <f>L8+L16</f>
        <v>9976.8691</v>
      </c>
      <c r="M7" s="329"/>
      <c r="N7" s="329">
        <f>N8+N16</f>
        <v>30851.6582</v>
      </c>
      <c r="O7" s="329"/>
      <c r="P7" s="329">
        <f>P8+P16</f>
        <v>37817.38909</v>
      </c>
      <c r="Q7" s="329"/>
      <c r="R7" s="329">
        <f>R8+R16</f>
        <v>48264.879510000006</v>
      </c>
      <c r="S7" s="65" t="s">
        <v>61</v>
      </c>
      <c r="T7" s="65"/>
      <c r="U7" s="49"/>
      <c r="V7" s="65"/>
      <c r="W7" s="66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</row>
    <row r="8" spans="1:41" s="52" customFormat="1" ht="15.75">
      <c r="A8" s="202" t="s">
        <v>42</v>
      </c>
      <c r="B8" s="203" t="s">
        <v>224</v>
      </c>
      <c r="C8" s="65"/>
      <c r="D8" s="330"/>
      <c r="E8" s="330"/>
      <c r="F8" s="329">
        <f>F9+F10</f>
        <v>80338.04920000001</v>
      </c>
      <c r="G8" s="344"/>
      <c r="H8" s="329">
        <f>H9+H10</f>
        <v>80338.04920000001</v>
      </c>
      <c r="I8" s="330"/>
      <c r="J8" s="330"/>
      <c r="K8" s="329"/>
      <c r="L8" s="36">
        <f>L9+L10</f>
        <v>3103.0719999999997</v>
      </c>
      <c r="M8" s="329"/>
      <c r="N8" s="36">
        <f>N9+N10</f>
        <v>18124.440000000002</v>
      </c>
      <c r="O8" s="329"/>
      <c r="P8" s="36">
        <f>P9+P10</f>
        <v>26381.156939999993</v>
      </c>
      <c r="Q8" s="329"/>
      <c r="R8" s="36">
        <f>R9+R10</f>
        <v>32729.380260000005</v>
      </c>
      <c r="S8" s="65"/>
      <c r="T8" s="65"/>
      <c r="U8" s="49"/>
      <c r="V8" s="65"/>
      <c r="W8" s="66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</row>
    <row r="9" spans="1:41" s="52" customFormat="1" ht="31.5">
      <c r="A9" s="209" t="s">
        <v>43</v>
      </c>
      <c r="B9" s="45" t="s">
        <v>383</v>
      </c>
      <c r="C9" s="54" t="s">
        <v>50</v>
      </c>
      <c r="D9" s="163">
        <v>22610.93</v>
      </c>
      <c r="E9" s="163">
        <v>1</v>
      </c>
      <c r="F9" s="163">
        <f>E9*D9</f>
        <v>22610.93</v>
      </c>
      <c r="G9" s="334">
        <f>E9</f>
        <v>1</v>
      </c>
      <c r="H9" s="334">
        <f>F9</f>
        <v>22610.93</v>
      </c>
      <c r="I9" s="330"/>
      <c r="J9" s="330"/>
      <c r="K9" s="329"/>
      <c r="L9" s="44"/>
      <c r="M9" s="44"/>
      <c r="N9" s="44">
        <f>F9*0.25</f>
        <v>5652.7325</v>
      </c>
      <c r="O9" s="44"/>
      <c r="P9" s="44">
        <f>F9*0.2+461.74</f>
        <v>4983.926</v>
      </c>
      <c r="Q9" s="177">
        <v>1</v>
      </c>
      <c r="R9" s="44">
        <f>F9-N9-P9</f>
        <v>11974.271500000003</v>
      </c>
      <c r="S9" s="65"/>
      <c r="T9" s="65"/>
      <c r="U9" s="49">
        <v>47</v>
      </c>
      <c r="V9" s="65"/>
      <c r="W9" s="66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</row>
    <row r="10" spans="1:24" s="144" customFormat="1" ht="36.75" customHeight="1">
      <c r="A10" s="456" t="s">
        <v>352</v>
      </c>
      <c r="B10" s="457"/>
      <c r="C10" s="458"/>
      <c r="D10" s="242"/>
      <c r="E10" s="242"/>
      <c r="F10" s="360">
        <f>F11+F12+F13+F14+F15</f>
        <v>57727.1192</v>
      </c>
      <c r="G10" s="360"/>
      <c r="H10" s="360">
        <f>H11+H12+H13+H14+H15</f>
        <v>57727.1192</v>
      </c>
      <c r="I10" s="361"/>
      <c r="J10" s="361"/>
      <c r="K10" s="238"/>
      <c r="L10" s="246">
        <f>L11+L12+L13+L14+L15</f>
        <v>3103.0719999999997</v>
      </c>
      <c r="M10" s="246"/>
      <c r="N10" s="246">
        <f>N11+N12+N13+N14+N15</f>
        <v>12471.7075</v>
      </c>
      <c r="O10" s="246"/>
      <c r="P10" s="246">
        <f>P11+P12+P13+P14+P15</f>
        <v>21397.230939999994</v>
      </c>
      <c r="Q10" s="362"/>
      <c r="R10" s="246">
        <f>R11+R12+R13+R14+R15</f>
        <v>20755.108760000003</v>
      </c>
      <c r="S10" s="238"/>
      <c r="T10" s="238"/>
      <c r="U10" s="367"/>
      <c r="V10" s="238"/>
      <c r="W10" s="342"/>
      <c r="X10" s="343"/>
    </row>
    <row r="11" spans="1:24" s="144" customFormat="1" ht="32.25" customHeight="1">
      <c r="A11" s="133" t="s">
        <v>48</v>
      </c>
      <c r="B11" s="33" t="s">
        <v>118</v>
      </c>
      <c r="C11" s="54" t="s">
        <v>50</v>
      </c>
      <c r="D11" s="163">
        <v>11926.105</v>
      </c>
      <c r="E11" s="163">
        <v>1</v>
      </c>
      <c r="F11" s="163">
        <f>E11*D11</f>
        <v>11926.105</v>
      </c>
      <c r="G11" s="163">
        <f aca="true" t="shared" si="0" ref="G11:H15">E11</f>
        <v>1</v>
      </c>
      <c r="H11" s="166">
        <f t="shared" si="0"/>
        <v>11926.105</v>
      </c>
      <c r="I11" s="205"/>
      <c r="J11" s="205"/>
      <c r="K11" s="55"/>
      <c r="L11" s="44"/>
      <c r="M11" s="44"/>
      <c r="N11" s="44">
        <f>F11*0.5</f>
        <v>5963.0525</v>
      </c>
      <c r="O11" s="44"/>
      <c r="P11" s="44">
        <f>986.28</f>
        <v>986.28</v>
      </c>
      <c r="Q11" s="177">
        <v>1</v>
      </c>
      <c r="R11" s="44">
        <f>F11-L11-N11-P11</f>
        <v>4976.7725</v>
      </c>
      <c r="S11" s="55"/>
      <c r="T11" s="55"/>
      <c r="U11" s="368">
        <v>50</v>
      </c>
      <c r="V11" s="55"/>
      <c r="W11" s="200" t="s">
        <v>181</v>
      </c>
      <c r="X11" s="206" t="s">
        <v>203</v>
      </c>
    </row>
    <row r="12" spans="1:24" s="144" customFormat="1" ht="31.5">
      <c r="A12" s="133" t="s">
        <v>75</v>
      </c>
      <c r="B12" s="33" t="s">
        <v>120</v>
      </c>
      <c r="C12" s="54" t="s">
        <v>50</v>
      </c>
      <c r="D12" s="163">
        <v>4432.96</v>
      </c>
      <c r="E12" s="163">
        <v>1</v>
      </c>
      <c r="F12" s="163">
        <f>E12*D12</f>
        <v>4432.96</v>
      </c>
      <c r="G12" s="163">
        <f t="shared" si="0"/>
        <v>1</v>
      </c>
      <c r="H12" s="166">
        <f t="shared" si="0"/>
        <v>4432.96</v>
      </c>
      <c r="I12" s="205"/>
      <c r="J12" s="205"/>
      <c r="K12" s="55"/>
      <c r="L12" s="44">
        <f>F12*0.7</f>
        <v>3103.0719999999997</v>
      </c>
      <c r="M12" s="44"/>
      <c r="N12" s="44"/>
      <c r="O12" s="44"/>
      <c r="P12" s="44">
        <v>565.43</v>
      </c>
      <c r="Q12" s="177">
        <v>1</v>
      </c>
      <c r="R12" s="44">
        <f>F12-L12-P12</f>
        <v>764.4580000000004</v>
      </c>
      <c r="S12" s="55"/>
      <c r="T12" s="55"/>
      <c r="U12" s="368">
        <v>53</v>
      </c>
      <c r="V12" s="55"/>
      <c r="W12" s="200" t="s">
        <v>193</v>
      </c>
      <c r="X12" s="208"/>
    </row>
    <row r="13" spans="1:24" s="144" customFormat="1" ht="15.75">
      <c r="A13" s="133" t="s">
        <v>225</v>
      </c>
      <c r="B13" s="33" t="s">
        <v>113</v>
      </c>
      <c r="C13" s="54" t="s">
        <v>50</v>
      </c>
      <c r="D13" s="163">
        <v>13017.31</v>
      </c>
      <c r="E13" s="163">
        <v>1</v>
      </c>
      <c r="F13" s="163">
        <f>E13*D13</f>
        <v>13017.31</v>
      </c>
      <c r="G13" s="163">
        <f t="shared" si="0"/>
        <v>1</v>
      </c>
      <c r="H13" s="166">
        <f t="shared" si="0"/>
        <v>13017.31</v>
      </c>
      <c r="I13" s="205"/>
      <c r="J13" s="205"/>
      <c r="K13" s="55"/>
      <c r="L13" s="44"/>
      <c r="M13" s="44"/>
      <c r="N13" s="44">
        <f>F13*0.5</f>
        <v>6508.655</v>
      </c>
      <c r="O13" s="44"/>
      <c r="P13" s="44"/>
      <c r="Q13" s="177">
        <v>1</v>
      </c>
      <c r="R13" s="44">
        <f>F13-N13</f>
        <v>6508.655</v>
      </c>
      <c r="S13" s="55"/>
      <c r="T13" s="55"/>
      <c r="U13" s="368">
        <v>54</v>
      </c>
      <c r="V13" s="55"/>
      <c r="W13" s="200" t="s">
        <v>194</v>
      </c>
      <c r="X13" s="207"/>
    </row>
    <row r="14" spans="1:24" s="144" customFormat="1" ht="31.5">
      <c r="A14" s="133" t="s">
        <v>80</v>
      </c>
      <c r="B14" s="33" t="s">
        <v>66</v>
      </c>
      <c r="C14" s="54" t="s">
        <v>50</v>
      </c>
      <c r="D14" s="163">
        <v>27935.92</v>
      </c>
      <c r="E14" s="163">
        <v>1</v>
      </c>
      <c r="F14" s="163">
        <f>E14*D14</f>
        <v>27935.92</v>
      </c>
      <c r="G14" s="163">
        <f t="shared" si="0"/>
        <v>1</v>
      </c>
      <c r="H14" s="166">
        <f t="shared" si="0"/>
        <v>27935.92</v>
      </c>
      <c r="I14" s="205"/>
      <c r="J14" s="205"/>
      <c r="K14" s="55"/>
      <c r="L14" s="44"/>
      <c r="M14" s="44"/>
      <c r="N14" s="44"/>
      <c r="O14" s="44"/>
      <c r="P14" s="44">
        <f>F14*0.7</f>
        <v>19555.143999999997</v>
      </c>
      <c r="Q14" s="177">
        <v>1</v>
      </c>
      <c r="R14" s="44">
        <f>F14-P14</f>
        <v>8380.776000000002</v>
      </c>
      <c r="S14" s="55"/>
      <c r="T14" s="55"/>
      <c r="U14" s="368">
        <v>57</v>
      </c>
      <c r="V14" s="55"/>
      <c r="W14" s="200" t="s">
        <v>194</v>
      </c>
      <c r="X14" s="110"/>
    </row>
    <row r="15" spans="1:24" s="144" customFormat="1" ht="15.75">
      <c r="A15" s="133" t="s">
        <v>81</v>
      </c>
      <c r="B15" s="33" t="s">
        <v>136</v>
      </c>
      <c r="C15" s="54" t="s">
        <v>50</v>
      </c>
      <c r="D15" s="163">
        <v>414.8242</v>
      </c>
      <c r="E15" s="163">
        <v>1</v>
      </c>
      <c r="F15" s="163">
        <f>E15*D15</f>
        <v>414.8242</v>
      </c>
      <c r="G15" s="163">
        <f t="shared" si="0"/>
        <v>1</v>
      </c>
      <c r="H15" s="166">
        <f t="shared" si="0"/>
        <v>414.8242</v>
      </c>
      <c r="I15" s="205"/>
      <c r="J15" s="205"/>
      <c r="K15" s="55"/>
      <c r="L15" s="44"/>
      <c r="M15" s="44"/>
      <c r="N15" s="44"/>
      <c r="O15" s="44"/>
      <c r="P15" s="44">
        <f>F15*0.7</f>
        <v>290.37694</v>
      </c>
      <c r="Q15" s="177">
        <v>1</v>
      </c>
      <c r="R15" s="44">
        <f>F15-P15</f>
        <v>124.44726000000003</v>
      </c>
      <c r="S15" s="55"/>
      <c r="T15" s="55"/>
      <c r="U15" s="368">
        <v>58</v>
      </c>
      <c r="V15" s="55"/>
      <c r="W15" s="200"/>
      <c r="X15" s="208"/>
    </row>
    <row r="16" spans="1:55" s="52" customFormat="1" ht="15.75">
      <c r="A16" s="202" t="s">
        <v>45</v>
      </c>
      <c r="B16" s="67" t="s">
        <v>46</v>
      </c>
      <c r="C16" s="54"/>
      <c r="D16" s="331"/>
      <c r="E16" s="331"/>
      <c r="F16" s="333">
        <f>F17+F20+F21+F24+F25+F26+F28+F29+F30+F31+F32+F33+F35+F36+F37+F38+F39+F34+F40+F41+F22+F23</f>
        <v>46572.746699999996</v>
      </c>
      <c r="G16" s="331"/>
      <c r="H16" s="333">
        <f>H17+H20+H21+H24+H25+H26+H28+H29+H30+H31+H32+H33+H35+H36+H37+H38+H39+H34+H40+H41+H22+H23</f>
        <v>46572.746699999996</v>
      </c>
      <c r="I16" s="331"/>
      <c r="J16" s="331"/>
      <c r="K16" s="332"/>
      <c r="L16" s="333">
        <f>L17+L20+L21+L24+L25+L26+L28+L29+L30+L31+L32+L33+L35+L36+L37+L38+L39+L34+L40+L41+L22+L23</f>
        <v>6873.797100000001</v>
      </c>
      <c r="M16" s="329"/>
      <c r="N16" s="333">
        <f>N17+N20+N21+N24+N25+N26+N28+N29+N30+N31+N32+N33+N35+N36+N37+N38+N39+N34+N40+N41+N22+N23</f>
        <v>12727.2182</v>
      </c>
      <c r="O16" s="329"/>
      <c r="P16" s="333">
        <f>P17+P20+P21+P24+P25+P26+P28+P29+P30+P31+P32+P33+P35+P36+P37+P38+P39+P34+P40+P41+P22+P23</f>
        <v>11436.232150000002</v>
      </c>
      <c r="Q16" s="334"/>
      <c r="R16" s="333">
        <f>R17+R20+R21+R24+R25+R26+R28+R29+R30+R31+R32+R33+R35+R36+R37+R38+R39+R34+R40+R41+R22+R23</f>
        <v>15535.499249999999</v>
      </c>
      <c r="S16" s="35"/>
      <c r="T16" s="35"/>
      <c r="U16" s="369" t="s">
        <v>386</v>
      </c>
      <c r="V16" s="35"/>
      <c r="W16" s="200"/>
      <c r="X16" s="208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</row>
    <row r="17" spans="1:24" s="144" customFormat="1" ht="15.75">
      <c r="A17" s="209" t="s">
        <v>76</v>
      </c>
      <c r="B17" s="100" t="s">
        <v>222</v>
      </c>
      <c r="C17" s="434" t="s">
        <v>20</v>
      </c>
      <c r="D17" s="436">
        <f>F17/(E17+E18)</f>
        <v>2988.6750298685783</v>
      </c>
      <c r="E17" s="345">
        <v>0.0825</v>
      </c>
      <c r="F17" s="436">
        <v>500.3042</v>
      </c>
      <c r="G17" s="163">
        <f>E17</f>
        <v>0.0825</v>
      </c>
      <c r="H17" s="436">
        <f>F17</f>
        <v>500.3042</v>
      </c>
      <c r="I17" s="56"/>
      <c r="J17" s="56"/>
      <c r="K17" s="55"/>
      <c r="L17" s="55"/>
      <c r="M17" s="54">
        <v>0.08</v>
      </c>
      <c r="N17" s="44">
        <f>F17</f>
        <v>500.3042</v>
      </c>
      <c r="O17" s="56"/>
      <c r="P17" s="44"/>
      <c r="Q17" s="177"/>
      <c r="R17" s="44"/>
      <c r="S17" s="55"/>
      <c r="T17" s="55"/>
      <c r="U17" s="368"/>
      <c r="V17" s="55"/>
      <c r="W17" s="210" t="s">
        <v>197</v>
      </c>
      <c r="X17" s="208"/>
    </row>
    <row r="18" spans="1:23" s="144" customFormat="1" ht="15.75">
      <c r="A18" s="209" t="s">
        <v>77</v>
      </c>
      <c r="B18" s="100" t="s">
        <v>223</v>
      </c>
      <c r="C18" s="435"/>
      <c r="D18" s="437"/>
      <c r="E18" s="163">
        <v>0.0849</v>
      </c>
      <c r="F18" s="437"/>
      <c r="G18" s="163">
        <f aca="true" t="shared" si="1" ref="G18:G41">E18</f>
        <v>0.0849</v>
      </c>
      <c r="H18" s="437"/>
      <c r="I18" s="164"/>
      <c r="J18" s="56"/>
      <c r="K18" s="55"/>
      <c r="L18" s="55"/>
      <c r="M18" s="55"/>
      <c r="N18" s="56"/>
      <c r="O18" s="56"/>
      <c r="P18" s="56"/>
      <c r="Q18" s="177"/>
      <c r="R18" s="56"/>
      <c r="S18" s="55"/>
      <c r="T18" s="55"/>
      <c r="U18" s="368"/>
      <c r="V18" s="55"/>
      <c r="W18" s="211" t="s">
        <v>197</v>
      </c>
    </row>
    <row r="19" spans="1:23" s="144" customFormat="1" ht="34.5" customHeight="1">
      <c r="A19" s="423" t="s">
        <v>352</v>
      </c>
      <c r="B19" s="424"/>
      <c r="C19" s="425"/>
      <c r="D19" s="241"/>
      <c r="E19" s="237"/>
      <c r="F19" s="363">
        <f>F20+F21+F22+F23+F24+F25+F26+F28+F29+F30+F31+F32+F33+F34+F35+F36+F37+F38+F39+F40+F41</f>
        <v>46072.4425</v>
      </c>
      <c r="G19" s="360"/>
      <c r="H19" s="363">
        <f>H20+H21+H22+H23+H24+H25+H26+H28+H29+H30+H31+H32+H33+H34+H35+H36+H37+H38+H39+H40+H41</f>
        <v>46072.4425</v>
      </c>
      <c r="I19" s="243"/>
      <c r="J19" s="243"/>
      <c r="K19" s="238"/>
      <c r="L19" s="363">
        <f>L20+L21+L22+L23+L24+L25+L26+L28+L29+L30+L31+L32+L33+L34+L35+L36+L37+L38+L39+L40+L41</f>
        <v>6873.7971</v>
      </c>
      <c r="M19" s="246"/>
      <c r="N19" s="363">
        <f>N20+N21+N22+N23+N24+N25+N26+N28+N29+N30+N31+N32+N33+N34+N35+N36+N37+N38+N39+N40+N41</f>
        <v>12226.913999999999</v>
      </c>
      <c r="O19" s="246"/>
      <c r="P19" s="363">
        <f>P20+P21+P22+P23+P24+P25+P26+P28+P29+P30+P31+P32+P33+P34+P35+P36+P37+P38+P39+P40+P41</f>
        <v>11436.232150000002</v>
      </c>
      <c r="Q19" s="246"/>
      <c r="R19" s="363">
        <f>R20+R21+R22+R23+R24+R25+R26+R28+R29+R30+R31+R32+R33+R34+R35+R36+R37+R38+R39+R40+R41</f>
        <v>15535.499249999999</v>
      </c>
      <c r="S19" s="238"/>
      <c r="T19" s="238"/>
      <c r="U19" s="367"/>
      <c r="V19" s="238"/>
      <c r="W19" s="240"/>
    </row>
    <row r="20" spans="1:23" s="144" customFormat="1" ht="31.5">
      <c r="A20" s="209" t="s">
        <v>78</v>
      </c>
      <c r="B20" s="101" t="s">
        <v>122</v>
      </c>
      <c r="C20" s="54" t="s">
        <v>20</v>
      </c>
      <c r="D20" s="44">
        <f aca="true" t="shared" si="2" ref="D20:D41">F20/E20</f>
        <v>2409.183104125737</v>
      </c>
      <c r="E20" s="134">
        <v>0.509</v>
      </c>
      <c r="F20" s="44">
        <v>1226.2742</v>
      </c>
      <c r="G20" s="163">
        <f t="shared" si="1"/>
        <v>0.509</v>
      </c>
      <c r="H20" s="135">
        <f>F20</f>
        <v>1226.2742</v>
      </c>
      <c r="I20" s="135"/>
      <c r="J20" s="135"/>
      <c r="K20" s="55"/>
      <c r="L20" s="44">
        <f>F20*0.5</f>
        <v>613.1371</v>
      </c>
      <c r="M20" s="55"/>
      <c r="N20" s="44"/>
      <c r="O20" s="44"/>
      <c r="P20" s="44"/>
      <c r="Q20" s="44">
        <v>0.51</v>
      </c>
      <c r="R20" s="44">
        <f>F20-L20</f>
        <v>613.1371</v>
      </c>
      <c r="S20" s="55"/>
      <c r="T20" s="55"/>
      <c r="U20" s="368"/>
      <c r="V20" s="55"/>
      <c r="W20" s="418" t="s">
        <v>195</v>
      </c>
    </row>
    <row r="21" spans="1:23" s="144" customFormat="1" ht="31.5">
      <c r="A21" s="209" t="s">
        <v>79</v>
      </c>
      <c r="B21" s="101" t="s">
        <v>123</v>
      </c>
      <c r="C21" s="54" t="s">
        <v>20</v>
      </c>
      <c r="D21" s="44">
        <f t="shared" si="2"/>
        <v>2785.6294461954076</v>
      </c>
      <c r="E21" s="134">
        <v>0.2221</v>
      </c>
      <c r="F21" s="44">
        <v>618.6883</v>
      </c>
      <c r="G21" s="163">
        <f t="shared" si="1"/>
        <v>0.2221</v>
      </c>
      <c r="H21" s="165">
        <f>F21</f>
        <v>618.6883</v>
      </c>
      <c r="I21" s="135"/>
      <c r="J21" s="135"/>
      <c r="K21" s="55"/>
      <c r="L21" s="55"/>
      <c r="M21" s="55"/>
      <c r="N21" s="44"/>
      <c r="O21" s="44"/>
      <c r="P21" s="44">
        <f>H21*0.5</f>
        <v>309.34415</v>
      </c>
      <c r="Q21" s="44">
        <v>0.22</v>
      </c>
      <c r="R21" s="44">
        <f>F21-P21</f>
        <v>309.34415</v>
      </c>
      <c r="S21" s="55"/>
      <c r="T21" s="55"/>
      <c r="U21" s="368"/>
      <c r="V21" s="55"/>
      <c r="W21" s="420"/>
    </row>
    <row r="22" spans="1:23" s="144" customFormat="1" ht="15.75">
      <c r="A22" s="209" t="s">
        <v>226</v>
      </c>
      <c r="B22" s="212" t="s">
        <v>206</v>
      </c>
      <c r="C22" s="136" t="s">
        <v>20</v>
      </c>
      <c r="D22" s="44">
        <f t="shared" si="2"/>
        <v>3144.4444444444443</v>
      </c>
      <c r="E22" s="134">
        <v>0.18</v>
      </c>
      <c r="F22" s="44">
        <v>566</v>
      </c>
      <c r="G22" s="163">
        <f t="shared" si="1"/>
        <v>0.18</v>
      </c>
      <c r="H22" s="165">
        <f aca="true" t="shared" si="3" ref="H22:H41">F22</f>
        <v>566</v>
      </c>
      <c r="I22" s="135"/>
      <c r="J22" s="135"/>
      <c r="K22" s="55"/>
      <c r="L22" s="55"/>
      <c r="M22" s="55"/>
      <c r="N22" s="44"/>
      <c r="O22" s="44"/>
      <c r="P22" s="44">
        <f>F22*0.5</f>
        <v>283</v>
      </c>
      <c r="Q22" s="44">
        <f>E22</f>
        <v>0.18</v>
      </c>
      <c r="R22" s="44">
        <f>F22-P22</f>
        <v>283</v>
      </c>
      <c r="S22" s="55"/>
      <c r="T22" s="55"/>
      <c r="U22" s="368"/>
      <c r="V22" s="55"/>
      <c r="W22" s="211" t="s">
        <v>197</v>
      </c>
    </row>
    <row r="23" spans="1:23" s="144" customFormat="1" ht="15.75">
      <c r="A23" s="209" t="s">
        <v>227</v>
      </c>
      <c r="B23" s="212" t="s">
        <v>353</v>
      </c>
      <c r="C23" s="136" t="s">
        <v>20</v>
      </c>
      <c r="D23" s="44">
        <f t="shared" si="2"/>
        <v>2798.657894736842</v>
      </c>
      <c r="E23" s="134">
        <v>0.38</v>
      </c>
      <c r="F23" s="44">
        <v>1063.49</v>
      </c>
      <c r="G23" s="163">
        <f t="shared" si="1"/>
        <v>0.38</v>
      </c>
      <c r="H23" s="165">
        <f t="shared" si="3"/>
        <v>1063.49</v>
      </c>
      <c r="I23" s="135"/>
      <c r="J23" s="135"/>
      <c r="K23" s="55"/>
      <c r="L23" s="55"/>
      <c r="M23" s="55"/>
      <c r="N23" s="44"/>
      <c r="O23" s="44"/>
      <c r="P23" s="44">
        <f>F23*0.5</f>
        <v>531.745</v>
      </c>
      <c r="Q23" s="44">
        <f>E23</f>
        <v>0.38</v>
      </c>
      <c r="R23" s="44">
        <f>F23-P23</f>
        <v>531.745</v>
      </c>
      <c r="S23" s="55"/>
      <c r="T23" s="55"/>
      <c r="U23" s="368"/>
      <c r="V23" s="55"/>
      <c r="W23" s="211" t="s">
        <v>197</v>
      </c>
    </row>
    <row r="24" spans="1:24" s="144" customFormat="1" ht="39" customHeight="1">
      <c r="A24" s="209" t="s">
        <v>228</v>
      </c>
      <c r="B24" s="213" t="s">
        <v>121</v>
      </c>
      <c r="C24" s="54" t="s">
        <v>20</v>
      </c>
      <c r="D24" s="44">
        <f t="shared" si="2"/>
        <v>1280.094135802469</v>
      </c>
      <c r="E24" s="134">
        <v>6.48</v>
      </c>
      <c r="F24" s="44">
        <v>8295.01</v>
      </c>
      <c r="G24" s="163">
        <f t="shared" si="1"/>
        <v>6.48</v>
      </c>
      <c r="H24" s="165">
        <f t="shared" si="3"/>
        <v>8295.01</v>
      </c>
      <c r="I24" s="135"/>
      <c r="J24" s="135"/>
      <c r="K24" s="55"/>
      <c r="L24" s="55"/>
      <c r="M24" s="55"/>
      <c r="N24" s="44">
        <f>F24*0.7</f>
        <v>5806.507</v>
      </c>
      <c r="O24" s="44">
        <f>E24</f>
        <v>6.48</v>
      </c>
      <c r="P24" s="44">
        <f>F24-N24</f>
        <v>2488.5030000000006</v>
      </c>
      <c r="Q24" s="56"/>
      <c r="R24" s="44"/>
      <c r="S24" s="55"/>
      <c r="T24" s="55"/>
      <c r="U24" s="368"/>
      <c r="V24" s="55"/>
      <c r="W24" s="211" t="s">
        <v>198</v>
      </c>
      <c r="X24" s="200" t="s">
        <v>199</v>
      </c>
    </row>
    <row r="25" spans="1:24" s="144" customFormat="1" ht="31.5">
      <c r="A25" s="209" t="s">
        <v>229</v>
      </c>
      <c r="B25" s="101" t="s">
        <v>207</v>
      </c>
      <c r="C25" s="54" t="s">
        <v>20</v>
      </c>
      <c r="D25" s="44">
        <f t="shared" si="2"/>
        <v>388.9756838905775</v>
      </c>
      <c r="E25" s="134">
        <v>3.29</v>
      </c>
      <c r="F25" s="44">
        <v>1279.73</v>
      </c>
      <c r="G25" s="163">
        <f t="shared" si="1"/>
        <v>3.29</v>
      </c>
      <c r="H25" s="165">
        <f t="shared" si="3"/>
        <v>1279.73</v>
      </c>
      <c r="I25" s="135"/>
      <c r="J25" s="135"/>
      <c r="K25" s="55"/>
      <c r="L25" s="55"/>
      <c r="M25" s="55"/>
      <c r="N25" s="44">
        <f>F25*0.2</f>
        <v>255.94600000000003</v>
      </c>
      <c r="O25" s="44"/>
      <c r="P25" s="44"/>
      <c r="Q25" s="44">
        <f>E25</f>
        <v>3.29</v>
      </c>
      <c r="R25" s="44">
        <f>F25-N25</f>
        <v>1023.784</v>
      </c>
      <c r="S25" s="55"/>
      <c r="T25" s="55"/>
      <c r="U25" s="368"/>
      <c r="V25" s="55"/>
      <c r="W25" s="214" t="s">
        <v>201</v>
      </c>
      <c r="X25" s="214" t="s">
        <v>202</v>
      </c>
    </row>
    <row r="26" spans="1:24" s="144" customFormat="1" ht="31.5">
      <c r="A26" s="209" t="s">
        <v>230</v>
      </c>
      <c r="B26" s="100" t="s">
        <v>208</v>
      </c>
      <c r="C26" s="136" t="s">
        <v>20</v>
      </c>
      <c r="D26" s="44">
        <f t="shared" si="2"/>
        <v>4220.230769230769</v>
      </c>
      <c r="E26" s="134">
        <v>2.47</v>
      </c>
      <c r="F26" s="394">
        <v>10423.97</v>
      </c>
      <c r="G26" s="163">
        <f t="shared" si="1"/>
        <v>2.47</v>
      </c>
      <c r="H26" s="165">
        <f t="shared" si="3"/>
        <v>10423.97</v>
      </c>
      <c r="I26" s="135"/>
      <c r="J26" s="135"/>
      <c r="K26" s="55"/>
      <c r="L26" s="55"/>
      <c r="M26" s="55"/>
      <c r="N26" s="44">
        <f>F26*0.5</f>
        <v>5211.985</v>
      </c>
      <c r="O26" s="44"/>
      <c r="P26" s="44"/>
      <c r="Q26" s="44">
        <f>E26</f>
        <v>2.47</v>
      </c>
      <c r="R26" s="44">
        <f>F26-N26</f>
        <v>5211.985</v>
      </c>
      <c r="S26" s="55"/>
      <c r="T26" s="55"/>
      <c r="U26" s="368"/>
      <c r="V26" s="55"/>
      <c r="W26" s="418" t="s">
        <v>182</v>
      </c>
      <c r="X26" s="418" t="s">
        <v>199</v>
      </c>
    </row>
    <row r="27" spans="1:24" s="144" customFormat="1" ht="31.5">
      <c r="A27" s="209" t="s">
        <v>231</v>
      </c>
      <c r="B27" s="212" t="s">
        <v>209</v>
      </c>
      <c r="C27" s="136"/>
      <c r="D27" s="44">
        <f t="shared" si="2"/>
        <v>0</v>
      </c>
      <c r="E27" s="134">
        <v>2.48</v>
      </c>
      <c r="F27" s="395"/>
      <c r="G27" s="163">
        <f t="shared" si="1"/>
        <v>2.48</v>
      </c>
      <c r="H27" s="165">
        <f t="shared" si="3"/>
        <v>0</v>
      </c>
      <c r="I27" s="135"/>
      <c r="J27" s="135"/>
      <c r="K27" s="55"/>
      <c r="L27" s="55"/>
      <c r="M27" s="55"/>
      <c r="N27" s="44"/>
      <c r="O27" s="44"/>
      <c r="P27" s="44"/>
      <c r="Q27" s="56"/>
      <c r="R27" s="44"/>
      <c r="S27" s="55"/>
      <c r="T27" s="55"/>
      <c r="U27" s="368"/>
      <c r="V27" s="55"/>
      <c r="W27" s="420"/>
      <c r="X27" s="420"/>
    </row>
    <row r="28" spans="1:23" s="144" customFormat="1" ht="31.5">
      <c r="A28" s="209" t="s">
        <v>232</v>
      </c>
      <c r="B28" s="213" t="s">
        <v>210</v>
      </c>
      <c r="C28" s="54" t="s">
        <v>20</v>
      </c>
      <c r="D28" s="44">
        <f t="shared" si="2"/>
        <v>2650</v>
      </c>
      <c r="E28" s="134">
        <v>0.72</v>
      </c>
      <c r="F28" s="44">
        <v>1908</v>
      </c>
      <c r="G28" s="163">
        <f t="shared" si="1"/>
        <v>0.72</v>
      </c>
      <c r="H28" s="165">
        <f t="shared" si="3"/>
        <v>1908</v>
      </c>
      <c r="I28" s="135"/>
      <c r="J28" s="135"/>
      <c r="K28" s="55"/>
      <c r="L28" s="44">
        <f>F28*0.5</f>
        <v>954</v>
      </c>
      <c r="M28" s="55"/>
      <c r="N28" s="44"/>
      <c r="O28" s="44">
        <f>E28</f>
        <v>0.72</v>
      </c>
      <c r="P28" s="44">
        <f>F28-L28</f>
        <v>954</v>
      </c>
      <c r="Q28" s="56"/>
      <c r="R28" s="44"/>
      <c r="S28" s="55"/>
      <c r="T28" s="55"/>
      <c r="U28" s="368"/>
      <c r="V28" s="55"/>
      <c r="W28" s="211" t="s">
        <v>200</v>
      </c>
    </row>
    <row r="29" spans="1:23" s="144" customFormat="1" ht="31.5">
      <c r="A29" s="209" t="s">
        <v>233</v>
      </c>
      <c r="B29" s="215" t="s">
        <v>384</v>
      </c>
      <c r="C29" s="54" t="s">
        <v>20</v>
      </c>
      <c r="D29" s="44">
        <f t="shared" si="2"/>
        <v>2433.7948717948716</v>
      </c>
      <c r="E29" s="134">
        <v>0.39</v>
      </c>
      <c r="F29" s="44">
        <v>949.18</v>
      </c>
      <c r="G29" s="163">
        <f t="shared" si="1"/>
        <v>0.39</v>
      </c>
      <c r="H29" s="165">
        <f t="shared" si="3"/>
        <v>949.18</v>
      </c>
      <c r="I29" s="135"/>
      <c r="J29" s="135"/>
      <c r="K29" s="55"/>
      <c r="L29" s="44"/>
      <c r="M29" s="55"/>
      <c r="N29" s="44"/>
      <c r="O29" s="44"/>
      <c r="P29" s="44">
        <f>F29*0.5</f>
        <v>474.59</v>
      </c>
      <c r="Q29" s="44">
        <f>E29</f>
        <v>0.39</v>
      </c>
      <c r="R29" s="44">
        <f>F29-P29</f>
        <v>474.59</v>
      </c>
      <c r="S29" s="55"/>
      <c r="T29" s="55"/>
      <c r="U29" s="368"/>
      <c r="V29" s="55"/>
      <c r="W29" s="418" t="s">
        <v>195</v>
      </c>
    </row>
    <row r="30" spans="1:23" s="144" customFormat="1" ht="31.5">
      <c r="A30" s="209" t="s">
        <v>234</v>
      </c>
      <c r="B30" s="215" t="s">
        <v>385</v>
      </c>
      <c r="C30" s="54" t="s">
        <v>20</v>
      </c>
      <c r="D30" s="44">
        <f t="shared" si="2"/>
        <v>2631.8</v>
      </c>
      <c r="E30" s="134">
        <v>0.35</v>
      </c>
      <c r="F30" s="44">
        <v>921.13</v>
      </c>
      <c r="G30" s="163">
        <f t="shared" si="1"/>
        <v>0.35</v>
      </c>
      <c r="H30" s="165">
        <f t="shared" si="3"/>
        <v>921.13</v>
      </c>
      <c r="I30" s="135"/>
      <c r="J30" s="135"/>
      <c r="K30" s="55"/>
      <c r="L30" s="44">
        <f aca="true" t="shared" si="4" ref="L30:L40">F30*0.5</f>
        <v>460.565</v>
      </c>
      <c r="M30" s="55"/>
      <c r="N30" s="44"/>
      <c r="O30" s="44">
        <f>E30</f>
        <v>0.35</v>
      </c>
      <c r="P30" s="44">
        <f>F30-L30</f>
        <v>460.565</v>
      </c>
      <c r="Q30" s="56"/>
      <c r="R30" s="44"/>
      <c r="S30" s="55"/>
      <c r="T30" s="55"/>
      <c r="U30" s="368"/>
      <c r="V30" s="55"/>
      <c r="W30" s="419"/>
    </row>
    <row r="31" spans="1:23" s="144" customFormat="1" ht="31.5">
      <c r="A31" s="209" t="s">
        <v>235</v>
      </c>
      <c r="B31" s="215" t="s">
        <v>124</v>
      </c>
      <c r="C31" s="54" t="s">
        <v>20</v>
      </c>
      <c r="D31" s="44">
        <f t="shared" si="2"/>
        <v>2514.092592592592</v>
      </c>
      <c r="E31" s="134">
        <v>0.54</v>
      </c>
      <c r="F31" s="44">
        <v>1357.61</v>
      </c>
      <c r="G31" s="163">
        <f t="shared" si="1"/>
        <v>0.54</v>
      </c>
      <c r="H31" s="165">
        <f t="shared" si="3"/>
        <v>1357.61</v>
      </c>
      <c r="I31" s="135"/>
      <c r="J31" s="135"/>
      <c r="K31" s="55"/>
      <c r="L31" s="44">
        <f t="shared" si="4"/>
        <v>678.805</v>
      </c>
      <c r="M31" s="55"/>
      <c r="N31" s="44"/>
      <c r="O31" s="44">
        <f>E31</f>
        <v>0.54</v>
      </c>
      <c r="P31" s="44">
        <f>F31-L31</f>
        <v>678.805</v>
      </c>
      <c r="Q31" s="56"/>
      <c r="R31" s="44"/>
      <c r="S31" s="55"/>
      <c r="T31" s="55"/>
      <c r="U31" s="368"/>
      <c r="V31" s="55"/>
      <c r="W31" s="419"/>
    </row>
    <row r="32" spans="1:23" s="144" customFormat="1" ht="31.5">
      <c r="A32" s="209" t="s">
        <v>236</v>
      </c>
      <c r="B32" s="215" t="s">
        <v>125</v>
      </c>
      <c r="C32" s="54" t="s">
        <v>20</v>
      </c>
      <c r="D32" s="44">
        <f t="shared" si="2"/>
        <v>2408.0526315789475</v>
      </c>
      <c r="E32" s="134">
        <v>0.57</v>
      </c>
      <c r="F32" s="44">
        <v>1372.59</v>
      </c>
      <c r="G32" s="163">
        <f t="shared" si="1"/>
        <v>0.57</v>
      </c>
      <c r="H32" s="165">
        <f t="shared" si="3"/>
        <v>1372.59</v>
      </c>
      <c r="I32" s="135"/>
      <c r="J32" s="135"/>
      <c r="K32" s="55"/>
      <c r="L32" s="44">
        <f t="shared" si="4"/>
        <v>686.295</v>
      </c>
      <c r="M32" s="55"/>
      <c r="N32" s="44"/>
      <c r="O32" s="44">
        <f>E32</f>
        <v>0.57</v>
      </c>
      <c r="P32" s="44">
        <f>F32-L32</f>
        <v>686.295</v>
      </c>
      <c r="Q32" s="56"/>
      <c r="R32" s="44"/>
      <c r="S32" s="55"/>
      <c r="T32" s="55"/>
      <c r="U32" s="368"/>
      <c r="V32" s="55"/>
      <c r="W32" s="419"/>
    </row>
    <row r="33" spans="1:23" s="144" customFormat="1" ht="31.5">
      <c r="A33" s="209" t="s">
        <v>237</v>
      </c>
      <c r="B33" s="215" t="s">
        <v>126</v>
      </c>
      <c r="C33" s="54" t="s">
        <v>20</v>
      </c>
      <c r="D33" s="44">
        <f t="shared" si="2"/>
        <v>1933.6571428571428</v>
      </c>
      <c r="E33" s="134">
        <v>0.35</v>
      </c>
      <c r="F33" s="44">
        <v>676.78</v>
      </c>
      <c r="G33" s="163">
        <f t="shared" si="1"/>
        <v>0.35</v>
      </c>
      <c r="H33" s="165">
        <f t="shared" si="3"/>
        <v>676.78</v>
      </c>
      <c r="I33" s="135"/>
      <c r="J33" s="135"/>
      <c r="K33" s="55"/>
      <c r="L33" s="44">
        <f t="shared" si="4"/>
        <v>338.39</v>
      </c>
      <c r="M33" s="55"/>
      <c r="N33" s="44"/>
      <c r="O33" s="44">
        <f>E33</f>
        <v>0.35</v>
      </c>
      <c r="P33" s="44">
        <f>F33-L33</f>
        <v>338.39</v>
      </c>
      <c r="Q33" s="56"/>
      <c r="R33" s="44"/>
      <c r="S33" s="55"/>
      <c r="T33" s="55"/>
      <c r="U33" s="368"/>
      <c r="V33" s="55"/>
      <c r="W33" s="419"/>
    </row>
    <row r="34" spans="1:23" s="144" customFormat="1" ht="31.5">
      <c r="A34" s="209" t="s">
        <v>238</v>
      </c>
      <c r="B34" s="215" t="s">
        <v>132</v>
      </c>
      <c r="C34" s="54" t="s">
        <v>20</v>
      </c>
      <c r="D34" s="44">
        <f t="shared" si="2"/>
        <v>1754.941176470588</v>
      </c>
      <c r="E34" s="134">
        <v>0.51</v>
      </c>
      <c r="F34" s="44">
        <v>895.02</v>
      </c>
      <c r="G34" s="163">
        <f t="shared" si="1"/>
        <v>0.51</v>
      </c>
      <c r="H34" s="165">
        <f t="shared" si="3"/>
        <v>895.02</v>
      </c>
      <c r="I34" s="135"/>
      <c r="J34" s="135"/>
      <c r="K34" s="55"/>
      <c r="L34" s="44">
        <f>F34*0.5</f>
        <v>447.51</v>
      </c>
      <c r="M34" s="55"/>
      <c r="N34" s="44"/>
      <c r="O34" s="44">
        <f>E34</f>
        <v>0.51</v>
      </c>
      <c r="P34" s="44">
        <f>F34-L34</f>
        <v>447.51</v>
      </c>
      <c r="Q34" s="56"/>
      <c r="R34" s="44"/>
      <c r="S34" s="55"/>
      <c r="T34" s="55"/>
      <c r="U34" s="368"/>
      <c r="V34" s="55"/>
      <c r="W34" s="419"/>
    </row>
    <row r="35" spans="1:23" s="144" customFormat="1" ht="47.25">
      <c r="A35" s="209" t="s">
        <v>239</v>
      </c>
      <c r="B35" s="215" t="s">
        <v>127</v>
      </c>
      <c r="C35" s="54" t="s">
        <v>20</v>
      </c>
      <c r="D35" s="44">
        <f t="shared" si="2"/>
        <v>1363.418018018018</v>
      </c>
      <c r="E35" s="134">
        <v>5.55</v>
      </c>
      <c r="F35" s="44">
        <v>7566.97</v>
      </c>
      <c r="G35" s="163">
        <f t="shared" si="1"/>
        <v>5.55</v>
      </c>
      <c r="H35" s="165">
        <f t="shared" si="3"/>
        <v>7566.97</v>
      </c>
      <c r="I35" s="135"/>
      <c r="J35" s="135"/>
      <c r="K35" s="55"/>
      <c r="L35" s="44"/>
      <c r="M35" s="55"/>
      <c r="N35" s="44"/>
      <c r="O35" s="44"/>
      <c r="P35" s="44">
        <f>F35*0.5</f>
        <v>3783.485</v>
      </c>
      <c r="Q35" s="44">
        <f>E35</f>
        <v>5.55</v>
      </c>
      <c r="R35" s="44">
        <f>F35-P35</f>
        <v>3783.485</v>
      </c>
      <c r="S35" s="55"/>
      <c r="T35" s="55"/>
      <c r="U35" s="368"/>
      <c r="V35" s="55"/>
      <c r="W35" s="419"/>
    </row>
    <row r="36" spans="1:23" s="144" customFormat="1" ht="47.25">
      <c r="A36" s="209" t="s">
        <v>240</v>
      </c>
      <c r="B36" s="215" t="s">
        <v>128</v>
      </c>
      <c r="C36" s="54" t="s">
        <v>20</v>
      </c>
      <c r="D36" s="44">
        <f t="shared" si="2"/>
        <v>1443.5363636363636</v>
      </c>
      <c r="E36" s="134">
        <v>1.1</v>
      </c>
      <c r="F36" s="44">
        <v>1587.89</v>
      </c>
      <c r="G36" s="163">
        <f t="shared" si="1"/>
        <v>1.1</v>
      </c>
      <c r="H36" s="165">
        <f t="shared" si="3"/>
        <v>1587.89</v>
      </c>
      <c r="I36" s="135"/>
      <c r="J36" s="135"/>
      <c r="K36" s="55"/>
      <c r="L36" s="44"/>
      <c r="M36" s="55"/>
      <c r="N36" s="44">
        <f>F36*0.6-0.258</f>
        <v>952.476</v>
      </c>
      <c r="O36" s="44"/>
      <c r="P36" s="44"/>
      <c r="Q36" s="44">
        <f aca="true" t="shared" si="5" ref="Q36:Q41">E36</f>
        <v>1.1</v>
      </c>
      <c r="R36" s="44">
        <f>F36-N36</f>
        <v>635.4140000000001</v>
      </c>
      <c r="S36" s="55"/>
      <c r="T36" s="55"/>
      <c r="U36" s="368"/>
      <c r="V36" s="55"/>
      <c r="W36" s="419"/>
    </row>
    <row r="37" spans="1:23" s="144" customFormat="1" ht="31.5">
      <c r="A37" s="209" t="s">
        <v>241</v>
      </c>
      <c r="B37" s="215" t="s">
        <v>129</v>
      </c>
      <c r="C37" s="54" t="s">
        <v>20</v>
      </c>
      <c r="D37" s="44">
        <f t="shared" si="2"/>
        <v>1530.0172413793105</v>
      </c>
      <c r="E37" s="134">
        <v>1.16</v>
      </c>
      <c r="F37" s="44">
        <v>1774.82</v>
      </c>
      <c r="G37" s="163">
        <f t="shared" si="1"/>
        <v>1.16</v>
      </c>
      <c r="H37" s="165">
        <f t="shared" si="3"/>
        <v>1774.82</v>
      </c>
      <c r="I37" s="135"/>
      <c r="J37" s="135"/>
      <c r="K37" s="55"/>
      <c r="L37" s="44">
        <f t="shared" si="4"/>
        <v>887.41</v>
      </c>
      <c r="M37" s="55"/>
      <c r="N37" s="44"/>
      <c r="O37" s="44"/>
      <c r="P37" s="44"/>
      <c r="Q37" s="44">
        <f t="shared" si="5"/>
        <v>1.16</v>
      </c>
      <c r="R37" s="44">
        <f>F37-L37</f>
        <v>887.41</v>
      </c>
      <c r="S37" s="55"/>
      <c r="T37" s="55"/>
      <c r="U37" s="368"/>
      <c r="V37" s="55"/>
      <c r="W37" s="419"/>
    </row>
    <row r="38" spans="1:23" s="144" customFormat="1" ht="31.5">
      <c r="A38" s="209" t="s">
        <v>242</v>
      </c>
      <c r="B38" s="215" t="s">
        <v>131</v>
      </c>
      <c r="C38" s="54" t="s">
        <v>20</v>
      </c>
      <c r="D38" s="44">
        <f t="shared" si="2"/>
        <v>1213.5797872340427</v>
      </c>
      <c r="E38" s="134">
        <v>1.88</v>
      </c>
      <c r="F38" s="44">
        <v>2281.53</v>
      </c>
      <c r="G38" s="163">
        <f t="shared" si="1"/>
        <v>1.88</v>
      </c>
      <c r="H38" s="165">
        <f t="shared" si="3"/>
        <v>2281.53</v>
      </c>
      <c r="I38" s="135"/>
      <c r="J38" s="135"/>
      <c r="K38" s="55"/>
      <c r="L38" s="44">
        <f t="shared" si="4"/>
        <v>1140.765</v>
      </c>
      <c r="M38" s="55"/>
      <c r="N38" s="44"/>
      <c r="O38" s="44"/>
      <c r="P38" s="44"/>
      <c r="Q38" s="44">
        <f t="shared" si="5"/>
        <v>1.88</v>
      </c>
      <c r="R38" s="44">
        <f>F38-L38</f>
        <v>1140.765</v>
      </c>
      <c r="S38" s="55"/>
      <c r="T38" s="55"/>
      <c r="U38" s="368"/>
      <c r="V38" s="55"/>
      <c r="W38" s="419"/>
    </row>
    <row r="39" spans="1:23" s="144" customFormat="1" ht="31.5">
      <c r="A39" s="209" t="s">
        <v>243</v>
      </c>
      <c r="B39" s="215" t="s">
        <v>130</v>
      </c>
      <c r="C39" s="54" t="s">
        <v>20</v>
      </c>
      <c r="D39" s="44">
        <f t="shared" si="2"/>
        <v>375.50793650793656</v>
      </c>
      <c r="E39" s="134">
        <v>1.89</v>
      </c>
      <c r="F39" s="44">
        <v>709.71</v>
      </c>
      <c r="G39" s="163">
        <f t="shared" si="1"/>
        <v>1.89</v>
      </c>
      <c r="H39" s="165">
        <f t="shared" si="3"/>
        <v>709.71</v>
      </c>
      <c r="I39" s="135"/>
      <c r="J39" s="135"/>
      <c r="K39" s="55"/>
      <c r="L39" s="44">
        <f>F39*0.5+1.26</f>
        <v>356.115</v>
      </c>
      <c r="M39" s="55"/>
      <c r="N39" s="44"/>
      <c r="O39" s="44"/>
      <c r="P39" s="44"/>
      <c r="Q39" s="44">
        <f t="shared" si="5"/>
        <v>1.89</v>
      </c>
      <c r="R39" s="44">
        <f>F39-L39</f>
        <v>353.595</v>
      </c>
      <c r="S39" s="55"/>
      <c r="T39" s="55"/>
      <c r="U39" s="368"/>
      <c r="V39" s="55"/>
      <c r="W39" s="419"/>
    </row>
    <row r="40" spans="1:23" s="144" customFormat="1" ht="31.5">
      <c r="A40" s="209" t="s">
        <v>244</v>
      </c>
      <c r="B40" s="215" t="s">
        <v>133</v>
      </c>
      <c r="C40" s="54" t="s">
        <v>20</v>
      </c>
      <c r="D40" s="44">
        <f t="shared" si="2"/>
        <v>1576.7619047619048</v>
      </c>
      <c r="E40" s="134">
        <v>0.21</v>
      </c>
      <c r="F40" s="44">
        <v>331.12</v>
      </c>
      <c r="G40" s="163">
        <f t="shared" si="1"/>
        <v>0.21</v>
      </c>
      <c r="H40" s="165">
        <f t="shared" si="3"/>
        <v>331.12</v>
      </c>
      <c r="I40" s="135"/>
      <c r="J40" s="135"/>
      <c r="K40" s="55"/>
      <c r="L40" s="44">
        <f t="shared" si="4"/>
        <v>165.56</v>
      </c>
      <c r="M40" s="55"/>
      <c r="N40" s="44"/>
      <c r="O40" s="44"/>
      <c r="P40" s="44"/>
      <c r="Q40" s="44">
        <f t="shared" si="5"/>
        <v>0.21</v>
      </c>
      <c r="R40" s="44">
        <f>F40-L40</f>
        <v>165.56</v>
      </c>
      <c r="S40" s="55"/>
      <c r="T40" s="55"/>
      <c r="U40" s="368"/>
      <c r="V40" s="55"/>
      <c r="W40" s="419"/>
    </row>
    <row r="41" spans="1:23" s="144" customFormat="1" ht="31.5">
      <c r="A41" s="209" t="s">
        <v>245</v>
      </c>
      <c r="B41" s="215" t="s">
        <v>134</v>
      </c>
      <c r="C41" s="54" t="s">
        <v>20</v>
      </c>
      <c r="D41" s="44">
        <f t="shared" si="2"/>
        <v>1067.72</v>
      </c>
      <c r="E41" s="134">
        <v>0.25</v>
      </c>
      <c r="F41" s="44">
        <v>266.93</v>
      </c>
      <c r="G41" s="163">
        <f t="shared" si="1"/>
        <v>0.25</v>
      </c>
      <c r="H41" s="165">
        <f t="shared" si="3"/>
        <v>266.93</v>
      </c>
      <c r="I41" s="135"/>
      <c r="J41" s="135"/>
      <c r="K41" s="55"/>
      <c r="L41" s="44">
        <f>F41*0.5+11.78</f>
        <v>145.245</v>
      </c>
      <c r="M41" s="55"/>
      <c r="N41" s="44"/>
      <c r="O41" s="44"/>
      <c r="P41" s="44"/>
      <c r="Q41" s="44">
        <f t="shared" si="5"/>
        <v>0.25</v>
      </c>
      <c r="R41" s="44">
        <f>F41-L41</f>
        <v>121.685</v>
      </c>
      <c r="S41" s="55"/>
      <c r="T41" s="55"/>
      <c r="U41" s="368"/>
      <c r="V41" s="55"/>
      <c r="W41" s="420"/>
    </row>
    <row r="42" spans="1:41" s="52" customFormat="1" ht="27.75" customHeight="1">
      <c r="A42" s="57" t="s">
        <v>246</v>
      </c>
      <c r="B42" s="112" t="s">
        <v>47</v>
      </c>
      <c r="C42" s="55"/>
      <c r="D42" s="55"/>
      <c r="E42" s="55"/>
      <c r="F42" s="56">
        <f>F43+F44+F45+F46+F47+F48+F49+F50+F51+F52+F53+F54+F55+F56+F57+F58+F59</f>
        <v>12892.953453333332</v>
      </c>
      <c r="G42" s="56"/>
      <c r="H42" s="56">
        <f>H43+H44+H45+H46+H47+H48+H49+H50+H51+H52+H53+H54+H55+H56+H57+H58+H59</f>
        <v>12892.953453333332</v>
      </c>
      <c r="I42" s="333"/>
      <c r="J42" s="333"/>
      <c r="K42" s="335"/>
      <c r="L42" s="58">
        <f>L43+L44+L45+L46+L47+L48+L49+L50+L51+L52+L53+L54+L55+L56+L57+L58+L59</f>
        <v>4335.538</v>
      </c>
      <c r="M42" s="334"/>
      <c r="N42" s="58">
        <f>N43+N44+N45+N46+N47+N48+N49+N50+N51+N52+N53+N54+N55+N56+N57+N58+N59</f>
        <v>1877.687</v>
      </c>
      <c r="O42" s="334"/>
      <c r="P42" s="58">
        <f>P43+P44+P45+P46+P47+P48+P49+P50+P51+P52+P53+P54+P55+P56+P57+P58+P59</f>
        <v>2676.7021966666675</v>
      </c>
      <c r="Q42" s="329"/>
      <c r="R42" s="58">
        <f>R43+R44+R45+R46+R47+R48+R49+R50+R51+R52+R53+R54+R55+R56+R57+R58+R59</f>
        <v>4003.026256666666</v>
      </c>
      <c r="S42" s="35"/>
      <c r="T42" s="35"/>
      <c r="U42" s="369" t="s">
        <v>387</v>
      </c>
      <c r="V42" s="35"/>
      <c r="W42" s="5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</row>
    <row r="43" spans="1:23" s="144" customFormat="1" ht="63">
      <c r="A43" s="190" t="s">
        <v>247</v>
      </c>
      <c r="B43" s="348" t="s">
        <v>382</v>
      </c>
      <c r="C43" s="166" t="s">
        <v>50</v>
      </c>
      <c r="D43" s="44">
        <v>5208.35</v>
      </c>
      <c r="E43" s="54">
        <v>0.6</v>
      </c>
      <c r="F43" s="44">
        <f>E43*D43</f>
        <v>3125.01</v>
      </c>
      <c r="G43" s="44">
        <f>E60</f>
        <v>1</v>
      </c>
      <c r="H43" s="44">
        <f>F43</f>
        <v>3125.01</v>
      </c>
      <c r="I43" s="58"/>
      <c r="J43" s="58"/>
      <c r="K43" s="205"/>
      <c r="L43" s="44">
        <f>F43*0.5+0.35</f>
        <v>1562.855</v>
      </c>
      <c r="M43" s="44"/>
      <c r="N43" s="44"/>
      <c r="O43" s="177">
        <v>1</v>
      </c>
      <c r="P43" s="44">
        <f>F43-L43</f>
        <v>1562.1550000000002</v>
      </c>
      <c r="Q43" s="56"/>
      <c r="R43" s="44"/>
      <c r="S43" s="55"/>
      <c r="T43" s="55"/>
      <c r="U43" s="368"/>
      <c r="V43" s="55"/>
      <c r="W43" s="54" t="s">
        <v>183</v>
      </c>
    </row>
    <row r="44" spans="1:23" s="144" customFormat="1" ht="47.25">
      <c r="A44" s="190" t="s">
        <v>248</v>
      </c>
      <c r="B44" s="198" t="s">
        <v>377</v>
      </c>
      <c r="C44" s="166" t="s">
        <v>50</v>
      </c>
      <c r="D44" s="44">
        <f>607.463/1.2</f>
        <v>506.21916666666664</v>
      </c>
      <c r="E44" s="54">
        <v>1</v>
      </c>
      <c r="F44" s="166">
        <f aca="true" t="shared" si="6" ref="F44:F54">E44*D44</f>
        <v>506.21916666666664</v>
      </c>
      <c r="G44" s="44">
        <f aca="true" t="shared" si="7" ref="G44:G99">E44</f>
        <v>1</v>
      </c>
      <c r="H44" s="44">
        <f aca="true" t="shared" si="8" ref="H44:H99">F44</f>
        <v>506.21916666666664</v>
      </c>
      <c r="I44" s="58"/>
      <c r="J44" s="58"/>
      <c r="K44" s="205"/>
      <c r="L44" s="44"/>
      <c r="M44" s="44"/>
      <c r="N44" s="44"/>
      <c r="O44" s="177">
        <v>1</v>
      </c>
      <c r="P44" s="44">
        <f>F44</f>
        <v>506.21916666666664</v>
      </c>
      <c r="Q44" s="56"/>
      <c r="R44" s="56"/>
      <c r="S44" s="55"/>
      <c r="T44" s="55"/>
      <c r="U44" s="368"/>
      <c r="V44" s="55"/>
      <c r="W44" s="54" t="s">
        <v>184</v>
      </c>
    </row>
    <row r="45" spans="1:23" s="144" customFormat="1" ht="41.25" customHeight="1">
      <c r="A45" s="190" t="s">
        <v>249</v>
      </c>
      <c r="B45" s="41" t="s">
        <v>378</v>
      </c>
      <c r="C45" s="166" t="s">
        <v>50</v>
      </c>
      <c r="D45" s="44">
        <f>631.682/1.2</f>
        <v>526.4016666666668</v>
      </c>
      <c r="E45" s="54">
        <v>1</v>
      </c>
      <c r="F45" s="166">
        <f t="shared" si="6"/>
        <v>526.4016666666668</v>
      </c>
      <c r="G45" s="44">
        <f t="shared" si="7"/>
        <v>1</v>
      </c>
      <c r="H45" s="44">
        <f t="shared" si="8"/>
        <v>526.4016666666668</v>
      </c>
      <c r="I45" s="58"/>
      <c r="J45" s="58"/>
      <c r="K45" s="188">
        <v>1</v>
      </c>
      <c r="L45" s="44">
        <f aca="true" t="shared" si="9" ref="L45:L55">F45</f>
        <v>526.4016666666668</v>
      </c>
      <c r="M45" s="44"/>
      <c r="N45" s="44"/>
      <c r="O45" s="44"/>
      <c r="P45" s="44"/>
      <c r="Q45" s="56"/>
      <c r="R45" s="56"/>
      <c r="S45" s="55"/>
      <c r="T45" s="55"/>
      <c r="U45" s="368"/>
      <c r="V45" s="55"/>
      <c r="W45" s="54" t="s">
        <v>184</v>
      </c>
    </row>
    <row r="46" spans="1:23" s="144" customFormat="1" ht="47.25">
      <c r="A46" s="190" t="s">
        <v>250</v>
      </c>
      <c r="B46" s="198" t="s">
        <v>379</v>
      </c>
      <c r="C46" s="54" t="s">
        <v>50</v>
      </c>
      <c r="D46" s="44">
        <f>299.731/1.2</f>
        <v>249.77583333333334</v>
      </c>
      <c r="E46" s="54">
        <v>1</v>
      </c>
      <c r="F46" s="44">
        <f t="shared" si="6"/>
        <v>249.77583333333334</v>
      </c>
      <c r="G46" s="44">
        <f t="shared" si="7"/>
        <v>1</v>
      </c>
      <c r="H46" s="44">
        <f t="shared" si="8"/>
        <v>249.77583333333334</v>
      </c>
      <c r="I46" s="58"/>
      <c r="J46" s="58"/>
      <c r="K46" s="188">
        <v>1</v>
      </c>
      <c r="L46" s="44">
        <f t="shared" si="9"/>
        <v>249.77583333333334</v>
      </c>
      <c r="M46" s="44"/>
      <c r="N46" s="44"/>
      <c r="O46" s="44"/>
      <c r="P46" s="44"/>
      <c r="Q46" s="56"/>
      <c r="R46" s="56"/>
      <c r="S46" s="55"/>
      <c r="T46" s="55"/>
      <c r="U46" s="368"/>
      <c r="V46" s="55"/>
      <c r="W46" s="54" t="s">
        <v>183</v>
      </c>
    </row>
    <row r="47" spans="1:23" s="144" customFormat="1" ht="47.25">
      <c r="A47" s="190" t="s">
        <v>251</v>
      </c>
      <c r="B47" s="198" t="s">
        <v>380</v>
      </c>
      <c r="C47" s="54" t="s">
        <v>50</v>
      </c>
      <c r="D47" s="44">
        <f>293.943/1.2</f>
        <v>244.9525</v>
      </c>
      <c r="E47" s="54">
        <v>1</v>
      </c>
      <c r="F47" s="44">
        <f t="shared" si="6"/>
        <v>244.9525</v>
      </c>
      <c r="G47" s="44">
        <f t="shared" si="7"/>
        <v>1</v>
      </c>
      <c r="H47" s="44">
        <f t="shared" si="8"/>
        <v>244.9525</v>
      </c>
      <c r="I47" s="58"/>
      <c r="J47" s="58"/>
      <c r="K47" s="188">
        <v>1</v>
      </c>
      <c r="L47" s="44">
        <f t="shared" si="9"/>
        <v>244.9525</v>
      </c>
      <c r="M47" s="44"/>
      <c r="N47" s="44"/>
      <c r="O47" s="44"/>
      <c r="P47" s="44"/>
      <c r="Q47" s="56"/>
      <c r="R47" s="56"/>
      <c r="S47" s="55"/>
      <c r="T47" s="55"/>
      <c r="U47" s="368"/>
      <c r="V47" s="55"/>
      <c r="W47" s="54" t="s">
        <v>185</v>
      </c>
    </row>
    <row r="48" spans="1:23" s="144" customFormat="1" ht="47.25">
      <c r="A48" s="190" t="s">
        <v>252</v>
      </c>
      <c r="B48" s="41" t="s">
        <v>381</v>
      </c>
      <c r="C48" s="54" t="s">
        <v>50</v>
      </c>
      <c r="D48" s="44">
        <v>246.86</v>
      </c>
      <c r="E48" s="54">
        <v>1</v>
      </c>
      <c r="F48" s="44">
        <f t="shared" si="6"/>
        <v>246.86</v>
      </c>
      <c r="G48" s="44">
        <f t="shared" si="7"/>
        <v>1</v>
      </c>
      <c r="H48" s="44">
        <f t="shared" si="8"/>
        <v>246.86</v>
      </c>
      <c r="I48" s="58"/>
      <c r="J48" s="58"/>
      <c r="K48" s="188">
        <v>1</v>
      </c>
      <c r="L48" s="44">
        <f t="shared" si="9"/>
        <v>246.86</v>
      </c>
      <c r="M48" s="44"/>
      <c r="N48" s="44"/>
      <c r="O48" s="44"/>
      <c r="P48" s="44"/>
      <c r="Q48" s="56"/>
      <c r="R48" s="56"/>
      <c r="S48" s="55"/>
      <c r="T48" s="55"/>
      <c r="U48" s="368"/>
      <c r="V48" s="55"/>
      <c r="W48" s="54" t="s">
        <v>185</v>
      </c>
    </row>
    <row r="49" spans="1:23" s="144" customFormat="1" ht="47.25">
      <c r="A49" s="190" t="s">
        <v>253</v>
      </c>
      <c r="B49" s="338" t="s">
        <v>357</v>
      </c>
      <c r="C49" s="54" t="s">
        <v>50</v>
      </c>
      <c r="D49" s="44" t="s">
        <v>374</v>
      </c>
      <c r="E49" s="54">
        <v>1</v>
      </c>
      <c r="F49" s="44">
        <v>230.73</v>
      </c>
      <c r="G49" s="44">
        <v>1</v>
      </c>
      <c r="H49" s="44">
        <v>230.73</v>
      </c>
      <c r="I49" s="58"/>
      <c r="J49" s="58"/>
      <c r="K49" s="188">
        <v>1</v>
      </c>
      <c r="L49" s="44">
        <f t="shared" si="9"/>
        <v>230.73</v>
      </c>
      <c r="M49" s="44"/>
      <c r="N49" s="44"/>
      <c r="O49" s="44"/>
      <c r="P49" s="44"/>
      <c r="Q49" s="56"/>
      <c r="R49" s="56"/>
      <c r="S49" s="55"/>
      <c r="T49" s="55"/>
      <c r="U49" s="368"/>
      <c r="V49" s="55"/>
      <c r="W49" s="54" t="s">
        <v>183</v>
      </c>
    </row>
    <row r="50" spans="1:23" s="144" customFormat="1" ht="47.25">
      <c r="A50" s="190" t="s">
        <v>254</v>
      </c>
      <c r="B50" s="338" t="s">
        <v>356</v>
      </c>
      <c r="C50" s="54" t="s">
        <v>50</v>
      </c>
      <c r="D50" s="44" t="s">
        <v>375</v>
      </c>
      <c r="E50" s="54">
        <v>1</v>
      </c>
      <c r="F50" s="44">
        <v>132.0525</v>
      </c>
      <c r="G50" s="44">
        <v>1</v>
      </c>
      <c r="H50" s="44">
        <v>132.0525</v>
      </c>
      <c r="I50" s="58"/>
      <c r="J50" s="58"/>
      <c r="K50" s="188"/>
      <c r="L50" s="44"/>
      <c r="M50" s="44"/>
      <c r="N50" s="44"/>
      <c r="O50" s="177">
        <v>1</v>
      </c>
      <c r="P50" s="44">
        <f>F50</f>
        <v>132.0525</v>
      </c>
      <c r="Q50" s="56"/>
      <c r="R50" s="56"/>
      <c r="S50" s="55"/>
      <c r="T50" s="55"/>
      <c r="U50" s="368"/>
      <c r="V50" s="55"/>
      <c r="W50" s="54" t="s">
        <v>183</v>
      </c>
    </row>
    <row r="51" spans="1:23" s="144" customFormat="1" ht="63">
      <c r="A51" s="190" t="s">
        <v>255</v>
      </c>
      <c r="B51" s="199" t="s">
        <v>101</v>
      </c>
      <c r="C51" s="54" t="s">
        <v>50</v>
      </c>
      <c r="D51" s="44">
        <v>339.22</v>
      </c>
      <c r="E51" s="54">
        <v>1</v>
      </c>
      <c r="F51" s="44">
        <f t="shared" si="6"/>
        <v>339.22</v>
      </c>
      <c r="G51" s="44">
        <f t="shared" si="7"/>
        <v>1</v>
      </c>
      <c r="H51" s="44">
        <f t="shared" si="8"/>
        <v>339.22</v>
      </c>
      <c r="I51" s="58"/>
      <c r="J51" s="58"/>
      <c r="K51" s="188">
        <v>1</v>
      </c>
      <c r="L51" s="44">
        <f t="shared" si="9"/>
        <v>339.22</v>
      </c>
      <c r="M51" s="44"/>
      <c r="N51" s="44"/>
      <c r="O51" s="177"/>
      <c r="P51" s="44"/>
      <c r="Q51" s="56"/>
      <c r="R51" s="56"/>
      <c r="S51" s="55"/>
      <c r="T51" s="55"/>
      <c r="U51" s="368"/>
      <c r="V51" s="55"/>
      <c r="W51" s="54" t="s">
        <v>186</v>
      </c>
    </row>
    <row r="52" spans="1:23" s="144" customFormat="1" ht="63">
      <c r="A52" s="190" t="s">
        <v>256</v>
      </c>
      <c r="B52" s="101" t="s">
        <v>103</v>
      </c>
      <c r="C52" s="54" t="s">
        <v>50</v>
      </c>
      <c r="D52" s="44">
        <v>430.54</v>
      </c>
      <c r="E52" s="54">
        <v>1</v>
      </c>
      <c r="F52" s="44">
        <f t="shared" si="6"/>
        <v>430.54</v>
      </c>
      <c r="G52" s="44">
        <f t="shared" si="7"/>
        <v>1</v>
      </c>
      <c r="H52" s="44">
        <f t="shared" si="8"/>
        <v>430.54</v>
      </c>
      <c r="I52" s="58"/>
      <c r="J52" s="58"/>
      <c r="K52" s="188">
        <v>1</v>
      </c>
      <c r="L52" s="44">
        <f t="shared" si="9"/>
        <v>430.54</v>
      </c>
      <c r="M52" s="44"/>
      <c r="N52" s="44"/>
      <c r="O52" s="177"/>
      <c r="P52" s="44"/>
      <c r="Q52" s="56"/>
      <c r="R52" s="56"/>
      <c r="S52" s="55"/>
      <c r="T52" s="55"/>
      <c r="U52" s="368"/>
      <c r="V52" s="55"/>
      <c r="W52" s="54" t="s">
        <v>186</v>
      </c>
    </row>
    <row r="53" spans="1:23" s="144" customFormat="1" ht="31.5">
      <c r="A53" s="190" t="s">
        <v>257</v>
      </c>
      <c r="B53" s="45" t="s">
        <v>102</v>
      </c>
      <c r="C53" s="54" t="s">
        <v>50</v>
      </c>
      <c r="D53" s="44">
        <v>478.373</v>
      </c>
      <c r="E53" s="54">
        <v>1</v>
      </c>
      <c r="F53" s="44">
        <f t="shared" si="6"/>
        <v>478.373</v>
      </c>
      <c r="G53" s="44">
        <f t="shared" si="7"/>
        <v>1</v>
      </c>
      <c r="H53" s="44">
        <f t="shared" si="8"/>
        <v>478.373</v>
      </c>
      <c r="I53" s="58"/>
      <c r="J53" s="58"/>
      <c r="K53" s="188">
        <v>1</v>
      </c>
      <c r="L53" s="44">
        <f t="shared" si="9"/>
        <v>478.373</v>
      </c>
      <c r="M53" s="44"/>
      <c r="N53" s="44"/>
      <c r="O53" s="177"/>
      <c r="P53" s="44"/>
      <c r="Q53" s="56"/>
      <c r="R53" s="56"/>
      <c r="S53" s="55"/>
      <c r="T53" s="55"/>
      <c r="U53" s="368"/>
      <c r="V53" s="55"/>
      <c r="W53" s="54" t="s">
        <v>187</v>
      </c>
    </row>
    <row r="54" spans="1:23" s="144" customFormat="1" ht="31.5">
      <c r="A54" s="190" t="s">
        <v>258</v>
      </c>
      <c r="B54" s="45" t="s">
        <v>111</v>
      </c>
      <c r="C54" s="54" t="s">
        <v>50</v>
      </c>
      <c r="D54" s="44">
        <v>30</v>
      </c>
      <c r="E54" s="54">
        <v>5</v>
      </c>
      <c r="F54" s="44">
        <f t="shared" si="6"/>
        <v>150</v>
      </c>
      <c r="G54" s="44">
        <f t="shared" si="7"/>
        <v>5</v>
      </c>
      <c r="H54" s="44">
        <f t="shared" si="8"/>
        <v>150</v>
      </c>
      <c r="I54" s="58"/>
      <c r="J54" s="58"/>
      <c r="K54" s="188"/>
      <c r="L54" s="44"/>
      <c r="M54" s="44"/>
      <c r="N54" s="44"/>
      <c r="O54" s="177">
        <v>1</v>
      </c>
      <c r="P54" s="44">
        <f>F54</f>
        <v>150</v>
      </c>
      <c r="Q54" s="56"/>
      <c r="R54" s="44"/>
      <c r="S54" s="55"/>
      <c r="T54" s="55"/>
      <c r="U54" s="368"/>
      <c r="V54" s="55"/>
      <c r="W54" s="54" t="s">
        <v>196</v>
      </c>
    </row>
    <row r="55" spans="1:23" s="144" customFormat="1" ht="78.75">
      <c r="A55" s="190" t="s">
        <v>259</v>
      </c>
      <c r="B55" s="45" t="s">
        <v>160</v>
      </c>
      <c r="C55" s="54" t="s">
        <v>20</v>
      </c>
      <c r="D55" s="44">
        <v>179.56</v>
      </c>
      <c r="E55" s="54">
        <v>0.12</v>
      </c>
      <c r="F55" s="44">
        <f>21.55+4.28</f>
        <v>25.830000000000002</v>
      </c>
      <c r="G55" s="44">
        <f t="shared" si="7"/>
        <v>0.12</v>
      </c>
      <c r="H55" s="44">
        <f t="shared" si="8"/>
        <v>25.830000000000002</v>
      </c>
      <c r="I55" s="58"/>
      <c r="J55" s="58"/>
      <c r="K55" s="188">
        <v>1</v>
      </c>
      <c r="L55" s="44">
        <f t="shared" si="9"/>
        <v>25.830000000000002</v>
      </c>
      <c r="M55" s="44"/>
      <c r="N55" s="44"/>
      <c r="O55" s="177"/>
      <c r="P55" s="44"/>
      <c r="Q55" s="56"/>
      <c r="R55" s="56"/>
      <c r="S55" s="55"/>
      <c r="T55" s="55"/>
      <c r="U55" s="368"/>
      <c r="V55" s="55"/>
      <c r="W55" s="54" t="s">
        <v>196</v>
      </c>
    </row>
    <row r="56" spans="1:23" s="144" customFormat="1" ht="47.25">
      <c r="A56" s="190" t="s">
        <v>260</v>
      </c>
      <c r="B56" s="45" t="s">
        <v>161</v>
      </c>
      <c r="C56" s="54" t="s">
        <v>20</v>
      </c>
      <c r="D56" s="44">
        <v>168.98</v>
      </c>
      <c r="E56" s="54">
        <v>0.22</v>
      </c>
      <c r="F56" s="44">
        <f>E56*D56</f>
        <v>37.175599999999996</v>
      </c>
      <c r="G56" s="44">
        <f aca="true" t="shared" si="10" ref="G56:H58">E56</f>
        <v>0.22</v>
      </c>
      <c r="H56" s="44">
        <f t="shared" si="10"/>
        <v>37.175599999999996</v>
      </c>
      <c r="I56" s="58"/>
      <c r="J56" s="58"/>
      <c r="K56" s="188"/>
      <c r="L56" s="44"/>
      <c r="M56" s="44"/>
      <c r="N56" s="44"/>
      <c r="O56" s="177">
        <v>1</v>
      </c>
      <c r="P56" s="44">
        <f>F56</f>
        <v>37.175599999999996</v>
      </c>
      <c r="Q56" s="56"/>
      <c r="R56" s="44"/>
      <c r="S56" s="55"/>
      <c r="T56" s="55"/>
      <c r="U56" s="368"/>
      <c r="V56" s="55"/>
      <c r="W56" s="54" t="s">
        <v>191</v>
      </c>
    </row>
    <row r="57" spans="1:23" s="144" customFormat="1" ht="63">
      <c r="A57" s="190" t="s">
        <v>261</v>
      </c>
      <c r="B57" s="45" t="s">
        <v>162</v>
      </c>
      <c r="C57" s="54" t="s">
        <v>20</v>
      </c>
      <c r="D57" s="44">
        <v>158.46</v>
      </c>
      <c r="E57" s="54">
        <v>0.263</v>
      </c>
      <c r="F57" s="44">
        <f>E57*D57</f>
        <v>41.674980000000005</v>
      </c>
      <c r="G57" s="44">
        <f t="shared" si="10"/>
        <v>0.263</v>
      </c>
      <c r="H57" s="44">
        <f t="shared" si="10"/>
        <v>41.674980000000005</v>
      </c>
      <c r="I57" s="58"/>
      <c r="J57" s="58"/>
      <c r="K57" s="188"/>
      <c r="L57" s="44"/>
      <c r="M57" s="44"/>
      <c r="N57" s="44"/>
      <c r="O57" s="177">
        <v>1</v>
      </c>
      <c r="P57" s="44">
        <f>F57</f>
        <v>41.674980000000005</v>
      </c>
      <c r="Q57" s="56"/>
      <c r="R57" s="44"/>
      <c r="S57" s="55"/>
      <c r="T57" s="55"/>
      <c r="U57" s="368"/>
      <c r="V57" s="55"/>
      <c r="W57" s="54" t="s">
        <v>191</v>
      </c>
    </row>
    <row r="58" spans="1:23" s="144" customFormat="1" ht="31.5">
      <c r="A58" s="190" t="s">
        <v>262</v>
      </c>
      <c r="B58" s="198" t="s">
        <v>148</v>
      </c>
      <c r="C58" s="54" t="s">
        <v>20</v>
      </c>
      <c r="D58" s="44">
        <f>F58/E58</f>
        <v>79.77</v>
      </c>
      <c r="E58" s="54">
        <v>1.3</v>
      </c>
      <c r="F58" s="44">
        <v>103.701</v>
      </c>
      <c r="G58" s="44">
        <f t="shared" si="10"/>
        <v>1.3</v>
      </c>
      <c r="H58" s="44">
        <f t="shared" si="10"/>
        <v>103.701</v>
      </c>
      <c r="I58" s="58"/>
      <c r="J58" s="58"/>
      <c r="K58" s="188"/>
      <c r="L58" s="44"/>
      <c r="M58" s="44"/>
      <c r="N58" s="44"/>
      <c r="O58" s="177">
        <v>1</v>
      </c>
      <c r="P58" s="44">
        <f>F58</f>
        <v>103.701</v>
      </c>
      <c r="Q58" s="56"/>
      <c r="R58" s="44"/>
      <c r="S58" s="55"/>
      <c r="T58" s="55"/>
      <c r="U58" s="368"/>
      <c r="V58" s="55"/>
      <c r="W58" s="54"/>
    </row>
    <row r="59" spans="1:23" s="144" customFormat="1" ht="32.25" customHeight="1">
      <c r="A59" s="428" t="s">
        <v>354</v>
      </c>
      <c r="B59" s="429"/>
      <c r="C59" s="244"/>
      <c r="D59" s="244"/>
      <c r="E59" s="245"/>
      <c r="F59" s="246">
        <f>F60+F61+F62+F63+F64+F65+F66+F67+F68+F69+F70+F71+F72+F73+F74+F75+F76+F77+F78+F79+F80+F81+F82+F83+F84+F85+F86+F87+F88+F89+F90+F91+F92+F93+F94+F95+F96+F97+F98+F99</f>
        <v>6024.4372066666665</v>
      </c>
      <c r="G59" s="237"/>
      <c r="H59" s="246">
        <f>H60+H61+H62+H63+H64+H65+H66+H67+H68+H69+H70+H71+H72+H73+H74+H75+H76+H77+H78+H79+H80+H81+H82+H83+H84+H85+H86+H87+H88+H89+H90+H91+H92+H93+H94+H95+H96+H97+H98+H99</f>
        <v>6024.4372066666665</v>
      </c>
      <c r="I59" s="246"/>
      <c r="J59" s="246"/>
      <c r="K59" s="346"/>
      <c r="L59" s="246">
        <f>L60+L61+L62+L63+L64+L65+L66+L67+L68+L69+L70+L71+L72+L73+L74+L75+L76+L77+L78+L79+L80+L81+L82+L83+L84+L85+L86+L87+L88+L89+L90+L91+L92+L93+L94+L95+L96+L97+L98+L99</f>
        <v>0</v>
      </c>
      <c r="M59" s="237"/>
      <c r="N59" s="246">
        <f>N60+N61+N62+N63+N64+N65+N66+N67+N68+N69+N70+N71+N72+N73+N74+N75+N76+N77+N78+N79+N80+N81+N82+N83+N84+N85+N86+N87+N88+N89+N90+N91+N92+N93+N94+N95+N96+N97+N98+N99</f>
        <v>1877.687</v>
      </c>
      <c r="O59" s="239"/>
      <c r="P59" s="246">
        <f>P60+P61+P62+P63+P64+P65+P66+P67+P68+P69+P70+P71+P72+P73+P74+P75+P76+P77+P78+P79+P80+P81+P82+P83+P84+P85+P86+P87+P88+P89+P90+P91+P92+P93+P94+P95+P96+P97+P98+P99</f>
        <v>143.72395</v>
      </c>
      <c r="Q59" s="243"/>
      <c r="R59" s="246">
        <f>R60+R61+R62+R63+R64+R65+R66+R67+R68+R69+R70+R71+R72+R73+R74+R75+R76+R77+R78+R79+R80+R81+R82+R83+R84+R85+R86+R87+R88+R89+R90+R91+R92+R93+R94+R95+R96+R97+R98+R99</f>
        <v>4003.026256666666</v>
      </c>
      <c r="S59" s="238"/>
      <c r="T59" s="238"/>
      <c r="U59" s="367"/>
      <c r="V59" s="238"/>
      <c r="W59" s="54"/>
    </row>
    <row r="60" spans="1:23" s="144" customFormat="1" ht="53.25" customHeight="1">
      <c r="A60" s="190" t="s">
        <v>263</v>
      </c>
      <c r="B60" s="198" t="s">
        <v>376</v>
      </c>
      <c r="C60" s="166" t="s">
        <v>50</v>
      </c>
      <c r="D60" s="44">
        <f>230.891/1.2</f>
        <v>192.40916666666666</v>
      </c>
      <c r="E60" s="54">
        <v>1</v>
      </c>
      <c r="F60" s="44">
        <f>E60*D60</f>
        <v>192.40916666666666</v>
      </c>
      <c r="G60" s="44">
        <f>E60</f>
        <v>1</v>
      </c>
      <c r="H60" s="44">
        <f>F60</f>
        <v>192.40916666666666</v>
      </c>
      <c r="I60" s="58"/>
      <c r="J60" s="58"/>
      <c r="K60" s="342"/>
      <c r="L60" s="58"/>
      <c r="M60" s="44"/>
      <c r="N60" s="58"/>
      <c r="O60" s="58"/>
      <c r="P60" s="58"/>
      <c r="Q60" s="54">
        <v>1</v>
      </c>
      <c r="R60" s="44">
        <f>F60</f>
        <v>192.40916666666666</v>
      </c>
      <c r="S60" s="55"/>
      <c r="T60" s="55"/>
      <c r="U60" s="368"/>
      <c r="V60" s="55"/>
      <c r="W60" s="54"/>
    </row>
    <row r="61" spans="1:23" s="144" customFormat="1" ht="47.25">
      <c r="A61" s="190" t="s">
        <v>264</v>
      </c>
      <c r="B61" s="248" t="s">
        <v>355</v>
      </c>
      <c r="C61" s="167" t="s">
        <v>50</v>
      </c>
      <c r="D61" s="167" t="s">
        <v>373</v>
      </c>
      <c r="E61" s="167">
        <v>1</v>
      </c>
      <c r="F61" s="44">
        <f aca="true" t="shared" si="11" ref="F61:F66">E61*D61</f>
        <v>170.769</v>
      </c>
      <c r="G61" s="44">
        <f>E61</f>
        <v>1</v>
      </c>
      <c r="H61" s="44">
        <f>F61</f>
        <v>170.769</v>
      </c>
      <c r="I61" s="58"/>
      <c r="J61" s="58"/>
      <c r="K61" s="201"/>
      <c r="L61" s="58"/>
      <c r="M61" s="44"/>
      <c r="N61" s="44"/>
      <c r="O61" s="44"/>
      <c r="P61" s="44"/>
      <c r="Q61" s="54">
        <v>1</v>
      </c>
      <c r="R61" s="44">
        <f>F61</f>
        <v>170.769</v>
      </c>
      <c r="S61" s="55"/>
      <c r="T61" s="55"/>
      <c r="U61" s="368"/>
      <c r="V61" s="55"/>
      <c r="W61" s="54" t="s">
        <v>185</v>
      </c>
    </row>
    <row r="62" spans="1:23" s="144" customFormat="1" ht="47.25">
      <c r="A62" s="190" t="s">
        <v>265</v>
      </c>
      <c r="B62" s="198" t="s">
        <v>358</v>
      </c>
      <c r="C62" s="54" t="s">
        <v>50</v>
      </c>
      <c r="D62" s="44">
        <v>635</v>
      </c>
      <c r="E62" s="54">
        <v>1</v>
      </c>
      <c r="F62" s="44">
        <f t="shared" si="11"/>
        <v>635</v>
      </c>
      <c r="G62" s="44">
        <f t="shared" si="7"/>
        <v>1</v>
      </c>
      <c r="H62" s="44">
        <f t="shared" si="8"/>
        <v>635</v>
      </c>
      <c r="I62" s="58"/>
      <c r="J62" s="58"/>
      <c r="K62" s="200"/>
      <c r="L62" s="58"/>
      <c r="M62" s="44"/>
      <c r="N62" s="44"/>
      <c r="O62" s="44"/>
      <c r="P62" s="44"/>
      <c r="Q62" s="54">
        <v>1</v>
      </c>
      <c r="R62" s="54">
        <f aca="true" t="shared" si="12" ref="R62:R76">F62</f>
        <v>635</v>
      </c>
      <c r="S62" s="55"/>
      <c r="T62" s="55"/>
      <c r="U62" s="368"/>
      <c r="V62" s="55"/>
      <c r="W62" s="54" t="s">
        <v>188</v>
      </c>
    </row>
    <row r="63" spans="1:23" s="144" customFormat="1" ht="47.25">
      <c r="A63" s="190" t="s">
        <v>266</v>
      </c>
      <c r="B63" s="198" t="s">
        <v>359</v>
      </c>
      <c r="C63" s="54" t="s">
        <v>50</v>
      </c>
      <c r="D63" s="44">
        <v>340</v>
      </c>
      <c r="E63" s="54">
        <v>1</v>
      </c>
      <c r="F63" s="44">
        <f t="shared" si="11"/>
        <v>340</v>
      </c>
      <c r="G63" s="44">
        <f t="shared" si="7"/>
        <v>1</v>
      </c>
      <c r="H63" s="44">
        <f t="shared" si="8"/>
        <v>340</v>
      </c>
      <c r="I63" s="58"/>
      <c r="J63" s="58"/>
      <c r="K63" s="200"/>
      <c r="L63" s="58"/>
      <c r="M63" s="44"/>
      <c r="N63" s="44"/>
      <c r="O63" s="44"/>
      <c r="P63" s="44"/>
      <c r="Q63" s="54">
        <v>1</v>
      </c>
      <c r="R63" s="54">
        <f t="shared" si="12"/>
        <v>340</v>
      </c>
      <c r="S63" s="55"/>
      <c r="T63" s="55"/>
      <c r="U63" s="368"/>
      <c r="V63" s="55"/>
      <c r="W63" s="54" t="s">
        <v>188</v>
      </c>
    </row>
    <row r="64" spans="1:23" s="144" customFormat="1" ht="47.25">
      <c r="A64" s="190" t="s">
        <v>267</v>
      </c>
      <c r="B64" s="198" t="s">
        <v>360</v>
      </c>
      <c r="C64" s="54" t="s">
        <v>50</v>
      </c>
      <c r="D64" s="44">
        <v>320</v>
      </c>
      <c r="E64" s="54">
        <v>1</v>
      </c>
      <c r="F64" s="44">
        <f t="shared" si="11"/>
        <v>320</v>
      </c>
      <c r="G64" s="44">
        <f t="shared" si="7"/>
        <v>1</v>
      </c>
      <c r="H64" s="44">
        <f t="shared" si="8"/>
        <v>320</v>
      </c>
      <c r="I64" s="58"/>
      <c r="J64" s="58"/>
      <c r="K64" s="200"/>
      <c r="L64" s="58"/>
      <c r="M64" s="44"/>
      <c r="N64" s="44"/>
      <c r="O64" s="44"/>
      <c r="P64" s="44"/>
      <c r="Q64" s="54">
        <v>1</v>
      </c>
      <c r="R64" s="54">
        <f t="shared" si="12"/>
        <v>320</v>
      </c>
      <c r="S64" s="55"/>
      <c r="T64" s="55"/>
      <c r="U64" s="368"/>
      <c r="V64" s="55"/>
      <c r="W64" s="54" t="s">
        <v>188</v>
      </c>
    </row>
    <row r="65" spans="1:23" s="144" customFormat="1" ht="47.25">
      <c r="A65" s="190" t="s">
        <v>268</v>
      </c>
      <c r="B65" s="198" t="s">
        <v>361</v>
      </c>
      <c r="C65" s="54" t="s">
        <v>50</v>
      </c>
      <c r="D65" s="44">
        <v>320</v>
      </c>
      <c r="E65" s="54">
        <v>1</v>
      </c>
      <c r="F65" s="44">
        <f t="shared" si="11"/>
        <v>320</v>
      </c>
      <c r="G65" s="44">
        <f t="shared" si="7"/>
        <v>1</v>
      </c>
      <c r="H65" s="44">
        <f t="shared" si="8"/>
        <v>320</v>
      </c>
      <c r="I65" s="58"/>
      <c r="J65" s="58"/>
      <c r="K65" s="200"/>
      <c r="L65" s="58"/>
      <c r="M65" s="44"/>
      <c r="N65" s="44"/>
      <c r="O65" s="44"/>
      <c r="P65" s="44"/>
      <c r="Q65" s="54">
        <v>1</v>
      </c>
      <c r="R65" s="54">
        <f t="shared" si="12"/>
        <v>320</v>
      </c>
      <c r="S65" s="55"/>
      <c r="T65" s="55"/>
      <c r="U65" s="368"/>
      <c r="V65" s="55"/>
      <c r="W65" s="54" t="s">
        <v>196</v>
      </c>
    </row>
    <row r="66" spans="1:23" s="144" customFormat="1" ht="47.25">
      <c r="A66" s="190" t="s">
        <v>269</v>
      </c>
      <c r="B66" s="198" t="s">
        <v>362</v>
      </c>
      <c r="C66" s="54" t="s">
        <v>50</v>
      </c>
      <c r="D66" s="44">
        <v>320</v>
      </c>
      <c r="E66" s="54">
        <v>1</v>
      </c>
      <c r="F66" s="44">
        <f t="shared" si="11"/>
        <v>320</v>
      </c>
      <c r="G66" s="44">
        <f t="shared" si="7"/>
        <v>1</v>
      </c>
      <c r="H66" s="44">
        <f t="shared" si="8"/>
        <v>320</v>
      </c>
      <c r="I66" s="58"/>
      <c r="J66" s="58"/>
      <c r="K66" s="200"/>
      <c r="L66" s="58"/>
      <c r="M66" s="44"/>
      <c r="N66" s="44"/>
      <c r="O66" s="44"/>
      <c r="P66" s="44"/>
      <c r="Q66" s="54">
        <v>1</v>
      </c>
      <c r="R66" s="54">
        <f t="shared" si="12"/>
        <v>320</v>
      </c>
      <c r="S66" s="55"/>
      <c r="T66" s="55"/>
      <c r="U66" s="368"/>
      <c r="V66" s="55"/>
      <c r="W66" s="54" t="s">
        <v>196</v>
      </c>
    </row>
    <row r="67" spans="1:23" s="144" customFormat="1" ht="47.25">
      <c r="A67" s="190" t="s">
        <v>270</v>
      </c>
      <c r="B67" s="198" t="s">
        <v>138</v>
      </c>
      <c r="C67" s="54" t="s">
        <v>20</v>
      </c>
      <c r="D67" s="44">
        <v>172.27</v>
      </c>
      <c r="E67" s="54">
        <v>0.2</v>
      </c>
      <c r="F67" s="44">
        <v>34.454</v>
      </c>
      <c r="G67" s="44">
        <f t="shared" si="7"/>
        <v>0.2</v>
      </c>
      <c r="H67" s="44">
        <f t="shared" si="8"/>
        <v>34.454</v>
      </c>
      <c r="I67" s="58"/>
      <c r="J67" s="58"/>
      <c r="K67" s="200"/>
      <c r="L67" s="58"/>
      <c r="M67" s="44"/>
      <c r="N67" s="44"/>
      <c r="O67" s="44"/>
      <c r="P67" s="44"/>
      <c r="Q67" s="54">
        <v>1</v>
      </c>
      <c r="R67" s="44">
        <f t="shared" si="12"/>
        <v>34.454</v>
      </c>
      <c r="S67" s="55"/>
      <c r="T67" s="55"/>
      <c r="U67" s="368"/>
      <c r="V67" s="55"/>
      <c r="W67" s="54" t="s">
        <v>189</v>
      </c>
    </row>
    <row r="68" spans="1:23" s="144" customFormat="1" ht="47.25">
      <c r="A68" s="190" t="s">
        <v>271</v>
      </c>
      <c r="B68" s="198" t="s">
        <v>139</v>
      </c>
      <c r="C68" s="54" t="s">
        <v>20</v>
      </c>
      <c r="D68" s="44">
        <v>152.25</v>
      </c>
      <c r="E68" s="54">
        <v>0.37</v>
      </c>
      <c r="F68" s="44">
        <v>56.332499999999996</v>
      </c>
      <c r="G68" s="44">
        <f t="shared" si="7"/>
        <v>0.37</v>
      </c>
      <c r="H68" s="44">
        <f t="shared" si="8"/>
        <v>56.332499999999996</v>
      </c>
      <c r="I68" s="58"/>
      <c r="J68" s="58"/>
      <c r="K68" s="200"/>
      <c r="L68" s="58"/>
      <c r="M68" s="44"/>
      <c r="N68" s="44"/>
      <c r="O68" s="44"/>
      <c r="P68" s="44"/>
      <c r="Q68" s="54">
        <v>1</v>
      </c>
      <c r="R68" s="44">
        <f t="shared" si="12"/>
        <v>56.332499999999996</v>
      </c>
      <c r="S68" s="55"/>
      <c r="T68" s="55"/>
      <c r="U68" s="368"/>
      <c r="V68" s="55"/>
      <c r="W68" s="54" t="s">
        <v>189</v>
      </c>
    </row>
    <row r="69" spans="1:23" s="144" customFormat="1" ht="47.25">
      <c r="A69" s="190" t="s">
        <v>272</v>
      </c>
      <c r="B69" s="198" t="s">
        <v>140</v>
      </c>
      <c r="C69" s="54" t="s">
        <v>20</v>
      </c>
      <c r="D69" s="44">
        <f aca="true" t="shared" si="13" ref="D69:D97">F69/E69</f>
        <v>172.26999999999998</v>
      </c>
      <c r="E69" s="54">
        <v>0.2</v>
      </c>
      <c r="F69" s="44">
        <v>34.454</v>
      </c>
      <c r="G69" s="44">
        <f t="shared" si="7"/>
        <v>0.2</v>
      </c>
      <c r="H69" s="44">
        <f t="shared" si="8"/>
        <v>34.454</v>
      </c>
      <c r="I69" s="58"/>
      <c r="J69" s="58"/>
      <c r="K69" s="200"/>
      <c r="L69" s="58"/>
      <c r="M69" s="44"/>
      <c r="N69" s="44"/>
      <c r="O69" s="44"/>
      <c r="P69" s="44"/>
      <c r="Q69" s="54">
        <v>1</v>
      </c>
      <c r="R69" s="44">
        <f t="shared" si="12"/>
        <v>34.454</v>
      </c>
      <c r="S69" s="55"/>
      <c r="T69" s="55"/>
      <c r="U69" s="368"/>
      <c r="V69" s="55"/>
      <c r="W69" s="54" t="s">
        <v>189</v>
      </c>
    </row>
    <row r="70" spans="1:23" s="144" customFormat="1" ht="47.25">
      <c r="A70" s="190" t="s">
        <v>273</v>
      </c>
      <c r="B70" s="198" t="s">
        <v>141</v>
      </c>
      <c r="C70" s="54" t="s">
        <v>20</v>
      </c>
      <c r="D70" s="44">
        <f t="shared" si="13"/>
        <v>192.36</v>
      </c>
      <c r="E70" s="54">
        <v>0.12</v>
      </c>
      <c r="F70" s="44">
        <v>23.0832</v>
      </c>
      <c r="G70" s="44">
        <f t="shared" si="7"/>
        <v>0.12</v>
      </c>
      <c r="H70" s="44">
        <f t="shared" si="8"/>
        <v>23.0832</v>
      </c>
      <c r="I70" s="58"/>
      <c r="J70" s="58"/>
      <c r="K70" s="200"/>
      <c r="L70" s="58"/>
      <c r="M70" s="44"/>
      <c r="N70" s="44"/>
      <c r="O70" s="44"/>
      <c r="P70" s="44"/>
      <c r="Q70" s="54">
        <v>1</v>
      </c>
      <c r="R70" s="44">
        <f t="shared" si="12"/>
        <v>23.0832</v>
      </c>
      <c r="S70" s="55"/>
      <c r="T70" s="55"/>
      <c r="U70" s="368"/>
      <c r="V70" s="55"/>
      <c r="W70" s="54" t="s">
        <v>189</v>
      </c>
    </row>
    <row r="71" spans="1:23" s="144" customFormat="1" ht="31.5">
      <c r="A71" s="190" t="s">
        <v>274</v>
      </c>
      <c r="B71" s="198" t="s">
        <v>142</v>
      </c>
      <c r="C71" s="54" t="s">
        <v>20</v>
      </c>
      <c r="D71" s="44">
        <f t="shared" si="13"/>
        <v>139.85</v>
      </c>
      <c r="E71" s="54">
        <v>0.545</v>
      </c>
      <c r="F71" s="44">
        <v>76.21825</v>
      </c>
      <c r="G71" s="44">
        <f t="shared" si="7"/>
        <v>0.545</v>
      </c>
      <c r="H71" s="44">
        <f t="shared" si="8"/>
        <v>76.21825</v>
      </c>
      <c r="I71" s="58"/>
      <c r="J71" s="58"/>
      <c r="K71" s="200"/>
      <c r="L71" s="58"/>
      <c r="M71" s="44"/>
      <c r="N71" s="44"/>
      <c r="O71" s="44"/>
      <c r="P71" s="44"/>
      <c r="Q71" s="54">
        <v>1</v>
      </c>
      <c r="R71" s="44">
        <f t="shared" si="12"/>
        <v>76.21825</v>
      </c>
      <c r="S71" s="55"/>
      <c r="T71" s="55"/>
      <c r="U71" s="368"/>
      <c r="V71" s="55"/>
      <c r="W71" s="54" t="s">
        <v>189</v>
      </c>
    </row>
    <row r="72" spans="1:23" s="144" customFormat="1" ht="31.5">
      <c r="A72" s="190" t="s">
        <v>275</v>
      </c>
      <c r="B72" s="198" t="s">
        <v>143</v>
      </c>
      <c r="C72" s="54" t="s">
        <v>20</v>
      </c>
      <c r="D72" s="44">
        <f t="shared" si="13"/>
        <v>152.25</v>
      </c>
      <c r="E72" s="54">
        <v>0.37</v>
      </c>
      <c r="F72" s="44">
        <v>56.332499999999996</v>
      </c>
      <c r="G72" s="44">
        <f t="shared" si="7"/>
        <v>0.37</v>
      </c>
      <c r="H72" s="44">
        <f t="shared" si="8"/>
        <v>56.332499999999996</v>
      </c>
      <c r="I72" s="58"/>
      <c r="J72" s="58"/>
      <c r="K72" s="200"/>
      <c r="L72" s="58"/>
      <c r="M72" s="44"/>
      <c r="N72" s="44"/>
      <c r="O72" s="44"/>
      <c r="P72" s="44"/>
      <c r="Q72" s="54">
        <v>1</v>
      </c>
      <c r="R72" s="44">
        <f t="shared" si="12"/>
        <v>56.332499999999996</v>
      </c>
      <c r="S72" s="55"/>
      <c r="T72" s="55"/>
      <c r="U72" s="368"/>
      <c r="V72" s="55"/>
      <c r="W72" s="54" t="s">
        <v>189</v>
      </c>
    </row>
    <row r="73" spans="1:23" s="144" customFormat="1" ht="31.5">
      <c r="A73" s="190" t="s">
        <v>276</v>
      </c>
      <c r="B73" s="198" t="s">
        <v>144</v>
      </c>
      <c r="C73" s="54" t="s">
        <v>20</v>
      </c>
      <c r="D73" s="44">
        <f t="shared" si="13"/>
        <v>79.77</v>
      </c>
      <c r="E73" s="54">
        <v>1.176</v>
      </c>
      <c r="F73" s="44">
        <v>93.80951999999999</v>
      </c>
      <c r="G73" s="44">
        <f t="shared" si="7"/>
        <v>1.176</v>
      </c>
      <c r="H73" s="44">
        <f t="shared" si="8"/>
        <v>93.80951999999999</v>
      </c>
      <c r="I73" s="58"/>
      <c r="J73" s="58"/>
      <c r="K73" s="200"/>
      <c r="L73" s="58"/>
      <c r="M73" s="44"/>
      <c r="N73" s="44"/>
      <c r="O73" s="44"/>
      <c r="P73" s="44"/>
      <c r="Q73" s="54">
        <v>1</v>
      </c>
      <c r="R73" s="44">
        <f t="shared" si="12"/>
        <v>93.80951999999999</v>
      </c>
      <c r="S73" s="55"/>
      <c r="T73" s="55"/>
      <c r="U73" s="368"/>
      <c r="V73" s="55"/>
      <c r="W73" s="54" t="s">
        <v>189</v>
      </c>
    </row>
    <row r="74" spans="1:23" s="144" customFormat="1" ht="31.5">
      <c r="A74" s="190" t="s">
        <v>277</v>
      </c>
      <c r="B74" s="198" t="s">
        <v>145</v>
      </c>
      <c r="C74" s="54" t="s">
        <v>20</v>
      </c>
      <c r="D74" s="44">
        <f t="shared" si="13"/>
        <v>79.77</v>
      </c>
      <c r="E74" s="54">
        <v>1.11</v>
      </c>
      <c r="F74" s="44">
        <v>88.5447</v>
      </c>
      <c r="G74" s="44">
        <f t="shared" si="7"/>
        <v>1.11</v>
      </c>
      <c r="H74" s="44">
        <f t="shared" si="8"/>
        <v>88.5447</v>
      </c>
      <c r="I74" s="58"/>
      <c r="J74" s="58"/>
      <c r="K74" s="200"/>
      <c r="L74" s="58"/>
      <c r="M74" s="44"/>
      <c r="N74" s="44"/>
      <c r="O74" s="44"/>
      <c r="P74" s="44"/>
      <c r="Q74" s="54">
        <v>1</v>
      </c>
      <c r="R74" s="44">
        <f t="shared" si="12"/>
        <v>88.5447</v>
      </c>
      <c r="S74" s="55"/>
      <c r="T74" s="55"/>
      <c r="U74" s="368"/>
      <c r="V74" s="55"/>
      <c r="W74" s="54" t="s">
        <v>189</v>
      </c>
    </row>
    <row r="75" spans="1:23" s="144" customFormat="1" ht="31.5">
      <c r="A75" s="190" t="s">
        <v>278</v>
      </c>
      <c r="B75" s="198" t="s">
        <v>146</v>
      </c>
      <c r="C75" s="54" t="s">
        <v>20</v>
      </c>
      <c r="D75" s="44">
        <f t="shared" si="13"/>
        <v>141.35</v>
      </c>
      <c r="E75" s="54">
        <v>0.51</v>
      </c>
      <c r="F75" s="44">
        <v>72.0885</v>
      </c>
      <c r="G75" s="44">
        <f t="shared" si="7"/>
        <v>0.51</v>
      </c>
      <c r="H75" s="44">
        <f t="shared" si="8"/>
        <v>72.0885</v>
      </c>
      <c r="I75" s="58"/>
      <c r="J75" s="58"/>
      <c r="K75" s="200"/>
      <c r="L75" s="58"/>
      <c r="M75" s="44"/>
      <c r="N75" s="44"/>
      <c r="O75" s="44"/>
      <c r="P75" s="44"/>
      <c r="Q75" s="54">
        <v>1</v>
      </c>
      <c r="R75" s="44">
        <f t="shared" si="12"/>
        <v>72.0885</v>
      </c>
      <c r="S75" s="55"/>
      <c r="T75" s="55"/>
      <c r="U75" s="368"/>
      <c r="V75" s="55"/>
      <c r="W75" s="54" t="s">
        <v>190</v>
      </c>
    </row>
    <row r="76" spans="1:23" s="144" customFormat="1" ht="31.5">
      <c r="A76" s="190" t="s">
        <v>279</v>
      </c>
      <c r="B76" s="198" t="s">
        <v>147</v>
      </c>
      <c r="C76" s="54" t="s">
        <v>20</v>
      </c>
      <c r="D76" s="44">
        <f t="shared" si="13"/>
        <v>79.77</v>
      </c>
      <c r="E76" s="54">
        <v>1.16</v>
      </c>
      <c r="F76" s="44">
        <v>92.5332</v>
      </c>
      <c r="G76" s="44">
        <f t="shared" si="7"/>
        <v>1.16</v>
      </c>
      <c r="H76" s="44">
        <f t="shared" si="8"/>
        <v>92.5332</v>
      </c>
      <c r="I76" s="58"/>
      <c r="J76" s="58"/>
      <c r="K76" s="200"/>
      <c r="L76" s="58"/>
      <c r="M76" s="44"/>
      <c r="N76" s="44"/>
      <c r="O76" s="44"/>
      <c r="P76" s="44"/>
      <c r="Q76" s="54">
        <v>1</v>
      </c>
      <c r="R76" s="44">
        <f t="shared" si="12"/>
        <v>92.5332</v>
      </c>
      <c r="S76" s="55"/>
      <c r="T76" s="55"/>
      <c r="U76" s="368"/>
      <c r="V76" s="55"/>
      <c r="W76" s="54" t="s">
        <v>190</v>
      </c>
    </row>
    <row r="77" spans="1:23" s="144" customFormat="1" ht="31.5">
      <c r="A77" s="190" t="s">
        <v>280</v>
      </c>
      <c r="B77" s="198" t="s">
        <v>149</v>
      </c>
      <c r="C77" s="54" t="s">
        <v>20</v>
      </c>
      <c r="D77" s="44">
        <f t="shared" si="13"/>
        <v>79.77</v>
      </c>
      <c r="E77" s="54">
        <v>1.04</v>
      </c>
      <c r="F77" s="44">
        <v>82.96079999999999</v>
      </c>
      <c r="G77" s="44">
        <f t="shared" si="7"/>
        <v>1.04</v>
      </c>
      <c r="H77" s="44">
        <f t="shared" si="8"/>
        <v>82.96079999999999</v>
      </c>
      <c r="I77" s="58"/>
      <c r="J77" s="58"/>
      <c r="K77" s="200"/>
      <c r="L77" s="58"/>
      <c r="M77" s="54">
        <v>1</v>
      </c>
      <c r="N77" s="44">
        <f aca="true" t="shared" si="14" ref="N77:N83">F77</f>
        <v>82.96079999999999</v>
      </c>
      <c r="O77" s="44"/>
      <c r="P77" s="44"/>
      <c r="Q77" s="55"/>
      <c r="R77" s="55"/>
      <c r="S77" s="55"/>
      <c r="T77" s="55"/>
      <c r="U77" s="368"/>
      <c r="V77" s="55"/>
      <c r="W77" s="54" t="s">
        <v>190</v>
      </c>
    </row>
    <row r="78" spans="1:23" s="144" customFormat="1" ht="31.5">
      <c r="A78" s="190" t="s">
        <v>281</v>
      </c>
      <c r="B78" s="198" t="s">
        <v>150</v>
      </c>
      <c r="C78" s="54" t="s">
        <v>20</v>
      </c>
      <c r="D78" s="44">
        <f t="shared" si="13"/>
        <v>153.37</v>
      </c>
      <c r="E78" s="54">
        <v>0.38</v>
      </c>
      <c r="F78" s="44">
        <v>58.2806</v>
      </c>
      <c r="G78" s="44">
        <f t="shared" si="7"/>
        <v>0.38</v>
      </c>
      <c r="H78" s="44">
        <f t="shared" si="8"/>
        <v>58.2806</v>
      </c>
      <c r="I78" s="58"/>
      <c r="J78" s="58"/>
      <c r="K78" s="200"/>
      <c r="L78" s="58"/>
      <c r="M78" s="54">
        <v>1</v>
      </c>
      <c r="N78" s="44">
        <f t="shared" si="14"/>
        <v>58.2806</v>
      </c>
      <c r="O78" s="44"/>
      <c r="P78" s="44"/>
      <c r="Q78" s="55"/>
      <c r="R78" s="55"/>
      <c r="S78" s="55"/>
      <c r="T78" s="55"/>
      <c r="U78" s="368"/>
      <c r="V78" s="55"/>
      <c r="W78" s="54" t="s">
        <v>190</v>
      </c>
    </row>
    <row r="79" spans="1:23" s="144" customFormat="1" ht="31.5">
      <c r="A79" s="190" t="s">
        <v>282</v>
      </c>
      <c r="B79" s="198" t="s">
        <v>151</v>
      </c>
      <c r="C79" s="54" t="s">
        <v>20</v>
      </c>
      <c r="D79" s="44">
        <f t="shared" si="13"/>
        <v>153.37</v>
      </c>
      <c r="E79" s="54">
        <v>0.38</v>
      </c>
      <c r="F79" s="44">
        <v>58.2806</v>
      </c>
      <c r="G79" s="44">
        <f t="shared" si="7"/>
        <v>0.38</v>
      </c>
      <c r="H79" s="44">
        <f t="shared" si="8"/>
        <v>58.2806</v>
      </c>
      <c r="I79" s="58"/>
      <c r="J79" s="58"/>
      <c r="K79" s="200"/>
      <c r="L79" s="58"/>
      <c r="M79" s="54">
        <v>1</v>
      </c>
      <c r="N79" s="44">
        <f t="shared" si="14"/>
        <v>58.2806</v>
      </c>
      <c r="O79" s="44"/>
      <c r="P79" s="44"/>
      <c r="Q79" s="55"/>
      <c r="R79" s="55"/>
      <c r="S79" s="55"/>
      <c r="T79" s="55"/>
      <c r="U79" s="368"/>
      <c r="V79" s="55"/>
      <c r="W79" s="54" t="s">
        <v>190</v>
      </c>
    </row>
    <row r="80" spans="1:23" s="144" customFormat="1" ht="31.5">
      <c r="A80" s="190" t="s">
        <v>283</v>
      </c>
      <c r="B80" s="198" t="s">
        <v>152</v>
      </c>
      <c r="C80" s="54" t="s">
        <v>20</v>
      </c>
      <c r="D80" s="44">
        <f t="shared" si="13"/>
        <v>79.77</v>
      </c>
      <c r="E80" s="54">
        <v>2.1</v>
      </c>
      <c r="F80" s="44">
        <v>167.517</v>
      </c>
      <c r="G80" s="44">
        <f t="shared" si="7"/>
        <v>2.1</v>
      </c>
      <c r="H80" s="44">
        <f t="shared" si="8"/>
        <v>167.517</v>
      </c>
      <c r="I80" s="58"/>
      <c r="J80" s="58"/>
      <c r="K80" s="200"/>
      <c r="L80" s="58"/>
      <c r="M80" s="54">
        <v>1</v>
      </c>
      <c r="N80" s="44">
        <f t="shared" si="14"/>
        <v>167.517</v>
      </c>
      <c r="O80" s="44"/>
      <c r="P80" s="44"/>
      <c r="Q80" s="55"/>
      <c r="R80" s="55"/>
      <c r="S80" s="55"/>
      <c r="T80" s="55"/>
      <c r="U80" s="368"/>
      <c r="V80" s="55"/>
      <c r="W80" s="54" t="s">
        <v>190</v>
      </c>
    </row>
    <row r="81" spans="1:23" s="144" customFormat="1" ht="31.5">
      <c r="A81" s="190" t="s">
        <v>284</v>
      </c>
      <c r="B81" s="249" t="s">
        <v>153</v>
      </c>
      <c r="C81" s="44" t="s">
        <v>20</v>
      </c>
      <c r="D81" s="44">
        <f t="shared" si="13"/>
        <v>143.75</v>
      </c>
      <c r="E81" s="44">
        <v>0.5</v>
      </c>
      <c r="F81" s="44">
        <v>71.875</v>
      </c>
      <c r="G81" s="44">
        <f t="shared" si="7"/>
        <v>0.5</v>
      </c>
      <c r="H81" s="44">
        <f t="shared" si="8"/>
        <v>71.875</v>
      </c>
      <c r="I81" s="58"/>
      <c r="J81" s="58"/>
      <c r="K81" s="205"/>
      <c r="L81" s="58"/>
      <c r="M81" s="54">
        <v>1</v>
      </c>
      <c r="N81" s="44">
        <f t="shared" si="14"/>
        <v>71.875</v>
      </c>
      <c r="O81" s="44"/>
      <c r="P81" s="44"/>
      <c r="Q81" s="56"/>
      <c r="R81" s="56"/>
      <c r="S81" s="56"/>
      <c r="T81" s="56"/>
      <c r="U81" s="370"/>
      <c r="V81" s="56"/>
      <c r="W81" s="44" t="s">
        <v>190</v>
      </c>
    </row>
    <row r="82" spans="1:23" s="144" customFormat="1" ht="45" customHeight="1">
      <c r="A82" s="190" t="s">
        <v>285</v>
      </c>
      <c r="B82" s="249" t="s">
        <v>154</v>
      </c>
      <c r="C82" s="44" t="s">
        <v>20</v>
      </c>
      <c r="D82" s="44">
        <f t="shared" si="13"/>
        <v>165.24</v>
      </c>
      <c r="E82" s="44">
        <v>0.2</v>
      </c>
      <c r="F82" s="44">
        <v>33.048</v>
      </c>
      <c r="G82" s="44">
        <f t="shared" si="7"/>
        <v>0.2</v>
      </c>
      <c r="H82" s="44">
        <f t="shared" si="8"/>
        <v>33.048</v>
      </c>
      <c r="I82" s="58"/>
      <c r="J82" s="58"/>
      <c r="K82" s="205"/>
      <c r="L82" s="58"/>
      <c r="M82" s="54">
        <v>1</v>
      </c>
      <c r="N82" s="44">
        <f t="shared" si="14"/>
        <v>33.048</v>
      </c>
      <c r="O82" s="44"/>
      <c r="P82" s="44"/>
      <c r="Q82" s="56"/>
      <c r="R82" s="56"/>
      <c r="S82" s="56"/>
      <c r="T82" s="56"/>
      <c r="U82" s="370"/>
      <c r="V82" s="56"/>
      <c r="W82" s="44" t="s">
        <v>191</v>
      </c>
    </row>
    <row r="83" spans="1:23" s="144" customFormat="1" ht="47.25">
      <c r="A83" s="190" t="s">
        <v>286</v>
      </c>
      <c r="B83" s="249" t="s">
        <v>155</v>
      </c>
      <c r="C83" s="44" t="s">
        <v>20</v>
      </c>
      <c r="D83" s="44">
        <f t="shared" si="13"/>
        <v>162.25</v>
      </c>
      <c r="E83" s="44">
        <v>0.25</v>
      </c>
      <c r="F83" s="44">
        <v>40.5625</v>
      </c>
      <c r="G83" s="44">
        <f t="shared" si="7"/>
        <v>0.25</v>
      </c>
      <c r="H83" s="44">
        <f t="shared" si="8"/>
        <v>40.5625</v>
      </c>
      <c r="I83" s="58"/>
      <c r="J83" s="58"/>
      <c r="K83" s="205"/>
      <c r="L83" s="58"/>
      <c r="M83" s="54">
        <v>1</v>
      </c>
      <c r="N83" s="44">
        <f t="shared" si="14"/>
        <v>40.5625</v>
      </c>
      <c r="O83" s="44"/>
      <c r="P83" s="44"/>
      <c r="Q83" s="56"/>
      <c r="R83" s="56"/>
      <c r="S83" s="56"/>
      <c r="T83" s="56"/>
      <c r="U83" s="370"/>
      <c r="V83" s="56"/>
      <c r="W83" s="44" t="s">
        <v>191</v>
      </c>
    </row>
    <row r="84" spans="1:23" s="144" customFormat="1" ht="47.25">
      <c r="A84" s="190" t="s">
        <v>287</v>
      </c>
      <c r="B84" s="249" t="s">
        <v>156</v>
      </c>
      <c r="C84" s="44" t="s">
        <v>20</v>
      </c>
      <c r="D84" s="44">
        <f t="shared" si="13"/>
        <v>240.12</v>
      </c>
      <c r="E84" s="44">
        <v>0.04</v>
      </c>
      <c r="F84" s="44">
        <v>9.604800000000001</v>
      </c>
      <c r="G84" s="44">
        <f t="shared" si="7"/>
        <v>0.04</v>
      </c>
      <c r="H84" s="44">
        <f t="shared" si="8"/>
        <v>9.604800000000001</v>
      </c>
      <c r="I84" s="58"/>
      <c r="J84" s="58"/>
      <c r="K84" s="205"/>
      <c r="L84" s="58"/>
      <c r="M84" s="44"/>
      <c r="N84" s="44"/>
      <c r="O84" s="44"/>
      <c r="P84" s="44"/>
      <c r="Q84" s="54">
        <v>1</v>
      </c>
      <c r="R84" s="44">
        <f>F84</f>
        <v>9.604800000000001</v>
      </c>
      <c r="S84" s="56"/>
      <c r="T84" s="56"/>
      <c r="U84" s="370"/>
      <c r="V84" s="56"/>
      <c r="W84" s="44" t="s">
        <v>191</v>
      </c>
    </row>
    <row r="85" spans="1:23" s="144" customFormat="1" ht="47.25">
      <c r="A85" s="190" t="s">
        <v>288</v>
      </c>
      <c r="B85" s="249" t="s">
        <v>157</v>
      </c>
      <c r="C85" s="44" t="s">
        <v>20</v>
      </c>
      <c r="D85" s="44">
        <f t="shared" si="13"/>
        <v>201.5</v>
      </c>
      <c r="E85" s="44">
        <v>0.151</v>
      </c>
      <c r="F85" s="44">
        <v>30.4265</v>
      </c>
      <c r="G85" s="44">
        <f t="shared" si="7"/>
        <v>0.151</v>
      </c>
      <c r="H85" s="44">
        <f t="shared" si="8"/>
        <v>30.4265</v>
      </c>
      <c r="I85" s="58"/>
      <c r="J85" s="58"/>
      <c r="K85" s="205"/>
      <c r="L85" s="58"/>
      <c r="M85" s="44"/>
      <c r="N85" s="44"/>
      <c r="O85" s="44"/>
      <c r="P85" s="44"/>
      <c r="Q85" s="54">
        <v>1</v>
      </c>
      <c r="R85" s="44">
        <f>F85</f>
        <v>30.4265</v>
      </c>
      <c r="S85" s="56"/>
      <c r="T85" s="56"/>
      <c r="U85" s="370"/>
      <c r="V85" s="56"/>
      <c r="W85" s="44" t="s">
        <v>191</v>
      </c>
    </row>
    <row r="86" spans="1:23" s="144" customFormat="1" ht="47.25">
      <c r="A86" s="190" t="s">
        <v>289</v>
      </c>
      <c r="B86" s="249" t="s">
        <v>158</v>
      </c>
      <c r="C86" s="44" t="s">
        <v>20</v>
      </c>
      <c r="D86" s="44">
        <f t="shared" si="13"/>
        <v>176.32</v>
      </c>
      <c r="E86" s="44">
        <v>0.114</v>
      </c>
      <c r="F86" s="44">
        <v>20.10048</v>
      </c>
      <c r="G86" s="44">
        <f t="shared" si="7"/>
        <v>0.114</v>
      </c>
      <c r="H86" s="44">
        <f t="shared" si="8"/>
        <v>20.10048</v>
      </c>
      <c r="I86" s="58"/>
      <c r="J86" s="58"/>
      <c r="K86" s="205"/>
      <c r="L86" s="58"/>
      <c r="M86" s="44"/>
      <c r="N86" s="44"/>
      <c r="O86" s="44"/>
      <c r="P86" s="44"/>
      <c r="Q86" s="54">
        <v>1</v>
      </c>
      <c r="R86" s="44">
        <f>F86</f>
        <v>20.10048</v>
      </c>
      <c r="S86" s="56"/>
      <c r="T86" s="56"/>
      <c r="U86" s="370"/>
      <c r="V86" s="56"/>
      <c r="W86" s="44" t="s">
        <v>191</v>
      </c>
    </row>
    <row r="87" spans="1:23" s="144" customFormat="1" ht="47.25">
      <c r="A87" s="190" t="s">
        <v>290</v>
      </c>
      <c r="B87" s="249" t="s">
        <v>159</v>
      </c>
      <c r="C87" s="44" t="s">
        <v>20</v>
      </c>
      <c r="D87" s="44">
        <f t="shared" si="13"/>
        <v>195.46</v>
      </c>
      <c r="E87" s="44">
        <v>0.105</v>
      </c>
      <c r="F87" s="44">
        <v>20.5233</v>
      </c>
      <c r="G87" s="44">
        <f t="shared" si="7"/>
        <v>0.105</v>
      </c>
      <c r="H87" s="44">
        <f t="shared" si="8"/>
        <v>20.5233</v>
      </c>
      <c r="I87" s="58"/>
      <c r="J87" s="58"/>
      <c r="K87" s="205"/>
      <c r="L87" s="58"/>
      <c r="M87" s="44"/>
      <c r="N87" s="44"/>
      <c r="O87" s="44"/>
      <c r="P87" s="44"/>
      <c r="Q87" s="54">
        <v>1</v>
      </c>
      <c r="R87" s="44">
        <f>F87</f>
        <v>20.5233</v>
      </c>
      <c r="S87" s="56"/>
      <c r="T87" s="56"/>
      <c r="U87" s="370"/>
      <c r="V87" s="56"/>
      <c r="W87" s="44" t="s">
        <v>191</v>
      </c>
    </row>
    <row r="88" spans="1:23" s="144" customFormat="1" ht="63">
      <c r="A88" s="190" t="s">
        <v>291</v>
      </c>
      <c r="B88" s="249" t="s">
        <v>163</v>
      </c>
      <c r="C88" s="44" t="s">
        <v>20</v>
      </c>
      <c r="D88" s="44">
        <f t="shared" si="13"/>
        <v>158.46</v>
      </c>
      <c r="E88" s="44">
        <v>0.263</v>
      </c>
      <c r="F88" s="44">
        <v>41.674980000000005</v>
      </c>
      <c r="G88" s="44">
        <f t="shared" si="7"/>
        <v>0.263</v>
      </c>
      <c r="H88" s="44">
        <f t="shared" si="8"/>
        <v>41.674980000000005</v>
      </c>
      <c r="I88" s="58"/>
      <c r="J88" s="58"/>
      <c r="K88" s="205"/>
      <c r="L88" s="58"/>
      <c r="M88" s="54">
        <v>1</v>
      </c>
      <c r="N88" s="44">
        <f>F88</f>
        <v>41.674980000000005</v>
      </c>
      <c r="O88" s="44"/>
      <c r="P88" s="44"/>
      <c r="Q88" s="56"/>
      <c r="R88" s="56"/>
      <c r="S88" s="56"/>
      <c r="T88" s="56"/>
      <c r="U88" s="370"/>
      <c r="V88" s="56"/>
      <c r="W88" s="44" t="s">
        <v>191</v>
      </c>
    </row>
    <row r="89" spans="1:23" s="144" customFormat="1" ht="63">
      <c r="A89" s="190" t="s">
        <v>292</v>
      </c>
      <c r="B89" s="249" t="s">
        <v>164</v>
      </c>
      <c r="C89" s="44" t="s">
        <v>20</v>
      </c>
      <c r="D89" s="44">
        <f t="shared" si="13"/>
        <v>226.34</v>
      </c>
      <c r="E89" s="44">
        <v>0.058</v>
      </c>
      <c r="F89" s="44">
        <v>13.12772</v>
      </c>
      <c r="G89" s="44">
        <f t="shared" si="7"/>
        <v>0.058</v>
      </c>
      <c r="H89" s="44">
        <f t="shared" si="8"/>
        <v>13.12772</v>
      </c>
      <c r="I89" s="58"/>
      <c r="J89" s="58"/>
      <c r="K89" s="205"/>
      <c r="L89" s="58"/>
      <c r="M89" s="54">
        <v>1</v>
      </c>
      <c r="N89" s="44">
        <f>F89</f>
        <v>13.12772</v>
      </c>
      <c r="O89" s="44"/>
      <c r="P89" s="44"/>
      <c r="Q89" s="56"/>
      <c r="R89" s="56"/>
      <c r="S89" s="56"/>
      <c r="T89" s="56"/>
      <c r="U89" s="370"/>
      <c r="V89" s="56"/>
      <c r="W89" s="44" t="s">
        <v>191</v>
      </c>
    </row>
    <row r="90" spans="1:23" s="144" customFormat="1" ht="47.25">
      <c r="A90" s="190" t="s">
        <v>293</v>
      </c>
      <c r="B90" s="249" t="s">
        <v>165</v>
      </c>
      <c r="C90" s="44" t="s">
        <v>20</v>
      </c>
      <c r="D90" s="44">
        <f>F90/E90</f>
        <v>162.35</v>
      </c>
      <c r="E90" s="44">
        <v>0.249</v>
      </c>
      <c r="F90" s="44">
        <v>40.425149999999995</v>
      </c>
      <c r="G90" s="44">
        <f t="shared" si="7"/>
        <v>0.249</v>
      </c>
      <c r="H90" s="44">
        <f t="shared" si="8"/>
        <v>40.425149999999995</v>
      </c>
      <c r="I90" s="58"/>
      <c r="J90" s="58"/>
      <c r="K90" s="205"/>
      <c r="L90" s="58"/>
      <c r="M90" s="44"/>
      <c r="N90" s="44"/>
      <c r="O90" s="54">
        <v>1</v>
      </c>
      <c r="P90" s="44">
        <f>H90</f>
        <v>40.425149999999995</v>
      </c>
      <c r="Q90" s="56"/>
      <c r="R90" s="56"/>
      <c r="S90" s="56"/>
      <c r="T90" s="56"/>
      <c r="U90" s="370"/>
      <c r="V90" s="56"/>
      <c r="W90" s="44" t="s">
        <v>191</v>
      </c>
    </row>
    <row r="91" spans="1:23" s="144" customFormat="1" ht="47.25">
      <c r="A91" s="190" t="s">
        <v>294</v>
      </c>
      <c r="B91" s="249" t="s">
        <v>166</v>
      </c>
      <c r="C91" s="44" t="s">
        <v>20</v>
      </c>
      <c r="D91" s="44">
        <f t="shared" si="13"/>
        <v>164.80000000000004</v>
      </c>
      <c r="E91" s="44">
        <v>0.21</v>
      </c>
      <c r="F91" s="44">
        <v>34.608000000000004</v>
      </c>
      <c r="G91" s="44">
        <f t="shared" si="7"/>
        <v>0.21</v>
      </c>
      <c r="H91" s="44">
        <f t="shared" si="8"/>
        <v>34.608000000000004</v>
      </c>
      <c r="I91" s="58"/>
      <c r="J91" s="58"/>
      <c r="K91" s="205"/>
      <c r="L91" s="58"/>
      <c r="M91" s="44"/>
      <c r="N91" s="44"/>
      <c r="O91" s="54">
        <v>1</v>
      </c>
      <c r="P91" s="44">
        <f>H91</f>
        <v>34.608000000000004</v>
      </c>
      <c r="Q91" s="56"/>
      <c r="R91" s="56"/>
      <c r="S91" s="56"/>
      <c r="T91" s="56"/>
      <c r="U91" s="370"/>
      <c r="V91" s="56"/>
      <c r="W91" s="44" t="s">
        <v>191</v>
      </c>
    </row>
    <row r="92" spans="1:23" s="144" customFormat="1" ht="63">
      <c r="A92" s="190" t="s">
        <v>295</v>
      </c>
      <c r="B92" s="249" t="s">
        <v>167</v>
      </c>
      <c r="C92" s="44" t="s">
        <v>20</v>
      </c>
      <c r="D92" s="44">
        <f t="shared" si="13"/>
        <v>215</v>
      </c>
      <c r="E92" s="44">
        <v>0.095</v>
      </c>
      <c r="F92" s="44">
        <v>20.425</v>
      </c>
      <c r="G92" s="44">
        <f t="shared" si="7"/>
        <v>0.095</v>
      </c>
      <c r="H92" s="44">
        <f t="shared" si="8"/>
        <v>20.425</v>
      </c>
      <c r="I92" s="58"/>
      <c r="J92" s="58"/>
      <c r="K92" s="205"/>
      <c r="L92" s="58"/>
      <c r="M92" s="44"/>
      <c r="N92" s="44"/>
      <c r="O92" s="54">
        <v>1</v>
      </c>
      <c r="P92" s="44">
        <f>H92</f>
        <v>20.425</v>
      </c>
      <c r="Q92" s="56"/>
      <c r="R92" s="56"/>
      <c r="S92" s="56"/>
      <c r="T92" s="56"/>
      <c r="U92" s="370"/>
      <c r="V92" s="56"/>
      <c r="W92" s="44" t="s">
        <v>191</v>
      </c>
    </row>
    <row r="93" spans="1:23" s="144" customFormat="1" ht="63">
      <c r="A93" s="190" t="s">
        <v>296</v>
      </c>
      <c r="B93" s="249" t="s">
        <v>168</v>
      </c>
      <c r="C93" s="44" t="s">
        <v>20</v>
      </c>
      <c r="D93" s="44">
        <f t="shared" si="13"/>
        <v>146.26</v>
      </c>
      <c r="E93" s="44">
        <v>0.33</v>
      </c>
      <c r="F93" s="44">
        <v>48.2658</v>
      </c>
      <c r="G93" s="44">
        <f t="shared" si="7"/>
        <v>0.33</v>
      </c>
      <c r="H93" s="44">
        <f t="shared" si="8"/>
        <v>48.2658</v>
      </c>
      <c r="I93" s="58"/>
      <c r="J93" s="58"/>
      <c r="K93" s="205"/>
      <c r="L93" s="58"/>
      <c r="M93" s="44"/>
      <c r="N93" s="44"/>
      <c r="O93" s="54">
        <v>1</v>
      </c>
      <c r="P93" s="44">
        <f>H93</f>
        <v>48.2658</v>
      </c>
      <c r="Q93" s="56"/>
      <c r="R93" s="56"/>
      <c r="S93" s="56"/>
      <c r="T93" s="56"/>
      <c r="U93" s="370"/>
      <c r="V93" s="56"/>
      <c r="W93" s="44" t="s">
        <v>191</v>
      </c>
    </row>
    <row r="94" spans="1:23" s="144" customFormat="1" ht="78.75">
      <c r="A94" s="190" t="s">
        <v>297</v>
      </c>
      <c r="B94" s="249" t="s">
        <v>169</v>
      </c>
      <c r="C94" s="44" t="s">
        <v>20</v>
      </c>
      <c r="D94" s="44">
        <f t="shared" si="13"/>
        <v>229.11666666666667</v>
      </c>
      <c r="E94" s="44">
        <v>0.06</v>
      </c>
      <c r="F94" s="44">
        <f>13.497+0.25</f>
        <v>13.747</v>
      </c>
      <c r="G94" s="44">
        <f t="shared" si="7"/>
        <v>0.06</v>
      </c>
      <c r="H94" s="44">
        <f t="shared" si="8"/>
        <v>13.747</v>
      </c>
      <c r="I94" s="58"/>
      <c r="J94" s="58"/>
      <c r="K94" s="205"/>
      <c r="L94" s="58"/>
      <c r="M94" s="54">
        <v>1</v>
      </c>
      <c r="N94" s="44">
        <f>F94</f>
        <v>13.747</v>
      </c>
      <c r="O94" s="44"/>
      <c r="P94" s="44"/>
      <c r="Q94" s="56"/>
      <c r="R94" s="56"/>
      <c r="S94" s="56"/>
      <c r="T94" s="56"/>
      <c r="U94" s="370"/>
      <c r="V94" s="56"/>
      <c r="W94" s="44" t="s">
        <v>191</v>
      </c>
    </row>
    <row r="95" spans="1:23" s="144" customFormat="1" ht="78.75">
      <c r="A95" s="190" t="s">
        <v>298</v>
      </c>
      <c r="B95" s="249" t="s">
        <v>170</v>
      </c>
      <c r="C95" s="44" t="s">
        <v>20</v>
      </c>
      <c r="D95" s="44">
        <f t="shared" si="13"/>
        <v>215.56</v>
      </c>
      <c r="E95" s="44">
        <v>0.094</v>
      </c>
      <c r="F95" s="44">
        <v>20.26264</v>
      </c>
      <c r="G95" s="44">
        <f t="shared" si="7"/>
        <v>0.094</v>
      </c>
      <c r="H95" s="44">
        <f t="shared" si="8"/>
        <v>20.26264</v>
      </c>
      <c r="I95" s="58"/>
      <c r="J95" s="58"/>
      <c r="K95" s="205"/>
      <c r="L95" s="58"/>
      <c r="M95" s="44"/>
      <c r="N95" s="44"/>
      <c r="O95" s="44"/>
      <c r="P95" s="44"/>
      <c r="Q95" s="54">
        <v>1</v>
      </c>
      <c r="R95" s="44">
        <f>F95</f>
        <v>20.26264</v>
      </c>
      <c r="S95" s="56"/>
      <c r="T95" s="56"/>
      <c r="U95" s="370"/>
      <c r="V95" s="56"/>
      <c r="W95" s="44" t="s">
        <v>191</v>
      </c>
    </row>
    <row r="96" spans="1:23" s="144" customFormat="1" ht="78.75">
      <c r="A96" s="190" t="s">
        <v>299</v>
      </c>
      <c r="B96" s="249" t="s">
        <v>171</v>
      </c>
      <c r="C96" s="44" t="s">
        <v>20</v>
      </c>
      <c r="D96" s="44">
        <f t="shared" si="13"/>
        <v>175.26</v>
      </c>
      <c r="E96" s="44">
        <v>0.13</v>
      </c>
      <c r="F96" s="44">
        <v>22.7838</v>
      </c>
      <c r="G96" s="44">
        <f t="shared" si="7"/>
        <v>0.13</v>
      </c>
      <c r="H96" s="44">
        <f t="shared" si="8"/>
        <v>22.7838</v>
      </c>
      <c r="I96" s="58"/>
      <c r="J96" s="58"/>
      <c r="K96" s="205"/>
      <c r="L96" s="58"/>
      <c r="M96" s="54">
        <v>1</v>
      </c>
      <c r="N96" s="44">
        <f>F96</f>
        <v>22.7838</v>
      </c>
      <c r="O96" s="44"/>
      <c r="P96" s="44"/>
      <c r="Q96" s="56"/>
      <c r="R96" s="56"/>
      <c r="S96" s="56"/>
      <c r="T96" s="56"/>
      <c r="U96" s="370"/>
      <c r="V96" s="56"/>
      <c r="W96" s="44" t="s">
        <v>191</v>
      </c>
    </row>
    <row r="97" spans="1:23" s="144" customFormat="1" ht="63">
      <c r="A97" s="190" t="s">
        <v>300</v>
      </c>
      <c r="B97" s="249" t="s">
        <v>172</v>
      </c>
      <c r="C97" s="44" t="s">
        <v>20</v>
      </c>
      <c r="D97" s="44">
        <f t="shared" si="13"/>
        <v>140.33</v>
      </c>
      <c r="E97" s="44">
        <v>0.3</v>
      </c>
      <c r="F97" s="44">
        <v>42.099000000000004</v>
      </c>
      <c r="G97" s="44">
        <f t="shared" si="7"/>
        <v>0.3</v>
      </c>
      <c r="H97" s="44">
        <f t="shared" si="8"/>
        <v>42.099000000000004</v>
      </c>
      <c r="I97" s="58"/>
      <c r="J97" s="58"/>
      <c r="K97" s="205"/>
      <c r="L97" s="58"/>
      <c r="M97" s="54">
        <v>1</v>
      </c>
      <c r="N97" s="44">
        <f>F97</f>
        <v>42.099000000000004</v>
      </c>
      <c r="O97" s="44"/>
      <c r="P97" s="44"/>
      <c r="Q97" s="56"/>
      <c r="R97" s="56"/>
      <c r="S97" s="56"/>
      <c r="T97" s="56"/>
      <c r="U97" s="370"/>
      <c r="V97" s="56"/>
      <c r="W97" s="44" t="s">
        <v>191</v>
      </c>
    </row>
    <row r="98" spans="1:23" s="144" customFormat="1" ht="47.25">
      <c r="A98" s="190" t="s">
        <v>301</v>
      </c>
      <c r="B98" s="45" t="s">
        <v>351</v>
      </c>
      <c r="C98" s="54" t="s">
        <v>50</v>
      </c>
      <c r="D98" s="44">
        <f>700+8.1+1244.06</f>
        <v>1952.1599999999999</v>
      </c>
      <c r="E98" s="54">
        <v>1</v>
      </c>
      <c r="F98" s="44">
        <f>E98*D98</f>
        <v>1952.1599999999999</v>
      </c>
      <c r="G98" s="44">
        <f>E98</f>
        <v>1</v>
      </c>
      <c r="H98" s="44">
        <f>F98</f>
        <v>1952.1599999999999</v>
      </c>
      <c r="I98" s="58"/>
      <c r="J98" s="58"/>
      <c r="K98" s="205"/>
      <c r="L98" s="58"/>
      <c r="M98" s="44"/>
      <c r="N98" s="44">
        <f>F98*0.5</f>
        <v>976.0799999999999</v>
      </c>
      <c r="O98" s="44"/>
      <c r="P98" s="44"/>
      <c r="Q98" s="54">
        <v>1</v>
      </c>
      <c r="R98" s="44">
        <f>F98-N98</f>
        <v>976.0799999999999</v>
      </c>
      <c r="S98" s="56"/>
      <c r="T98" s="56"/>
      <c r="U98" s="370"/>
      <c r="V98" s="56"/>
      <c r="W98" s="44" t="s">
        <v>196</v>
      </c>
    </row>
    <row r="99" spans="1:23" s="144" customFormat="1" ht="79.5" customHeight="1">
      <c r="A99" s="190" t="s">
        <v>302</v>
      </c>
      <c r="B99" s="249" t="s">
        <v>135</v>
      </c>
      <c r="C99" s="44" t="s">
        <v>50</v>
      </c>
      <c r="D99" s="44">
        <f>264-8.35</f>
        <v>255.65</v>
      </c>
      <c r="E99" s="44">
        <v>1</v>
      </c>
      <c r="F99" s="44">
        <f>E99*D99</f>
        <v>255.65</v>
      </c>
      <c r="G99" s="44">
        <f t="shared" si="7"/>
        <v>1</v>
      </c>
      <c r="H99" s="44">
        <f t="shared" si="8"/>
        <v>255.65</v>
      </c>
      <c r="I99" s="58"/>
      <c r="J99" s="58"/>
      <c r="K99" s="205"/>
      <c r="L99" s="58"/>
      <c r="M99" s="54">
        <v>1</v>
      </c>
      <c r="N99" s="44">
        <f>F99</f>
        <v>255.65</v>
      </c>
      <c r="O99" s="44"/>
      <c r="P99" s="44"/>
      <c r="Q99" s="56"/>
      <c r="R99" s="56"/>
      <c r="S99" s="56"/>
      <c r="T99" s="56"/>
      <c r="U99" s="370"/>
      <c r="V99" s="56"/>
      <c r="W99" s="44" t="s">
        <v>192</v>
      </c>
    </row>
    <row r="100" spans="1:41" s="52" customFormat="1" ht="15.75" customHeight="1">
      <c r="A100" s="426" t="s">
        <v>303</v>
      </c>
      <c r="B100" s="427"/>
      <c r="C100" s="62"/>
      <c r="D100" s="62"/>
      <c r="E100" s="62"/>
      <c r="F100" s="266">
        <f>F42+F7</f>
        <v>139803.74935333332</v>
      </c>
      <c r="G100" s="63"/>
      <c r="H100" s="266">
        <f>H42+H7</f>
        <v>139803.74935333332</v>
      </c>
      <c r="I100" s="326"/>
      <c r="J100" s="326"/>
      <c r="K100" s="327"/>
      <c r="L100" s="266">
        <f>L42+L7</f>
        <v>14312.4071</v>
      </c>
      <c r="M100" s="266"/>
      <c r="N100" s="266">
        <f>N42+N7</f>
        <v>32729.345200000003</v>
      </c>
      <c r="O100" s="266"/>
      <c r="P100" s="266">
        <f>P42+P7</f>
        <v>40494.09128666666</v>
      </c>
      <c r="Q100" s="328"/>
      <c r="R100" s="266">
        <f>R42+R7</f>
        <v>52267.90576666667</v>
      </c>
      <c r="S100" s="250"/>
      <c r="T100" s="250"/>
      <c r="U100" s="371"/>
      <c r="V100" s="250"/>
      <c r="W100" s="251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</row>
    <row r="101" spans="1:41" s="52" customFormat="1" ht="24.75" customHeight="1">
      <c r="A101" s="451" t="s">
        <v>354</v>
      </c>
      <c r="B101" s="452"/>
      <c r="C101" s="452"/>
      <c r="D101" s="259"/>
      <c r="E101" s="259"/>
      <c r="F101" s="267">
        <f>F59+F19+F10</f>
        <v>109823.99890666667</v>
      </c>
      <c r="G101" s="261"/>
      <c r="H101" s="262"/>
      <c r="I101" s="261"/>
      <c r="J101" s="261"/>
      <c r="K101" s="263"/>
      <c r="L101" s="260"/>
      <c r="M101" s="260"/>
      <c r="N101" s="260"/>
      <c r="O101" s="260"/>
      <c r="P101" s="260"/>
      <c r="Q101" s="264"/>
      <c r="R101" s="264"/>
      <c r="S101" s="265"/>
      <c r="T101" s="265"/>
      <c r="U101" s="372"/>
      <c r="V101" s="265"/>
      <c r="W101" s="252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</row>
    <row r="102" spans="1:41" s="52" customFormat="1" ht="15.75">
      <c r="A102" s="377" t="s">
        <v>305</v>
      </c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121" t="s">
        <v>388</v>
      </c>
      <c r="V102" s="378"/>
      <c r="W102" s="379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</row>
    <row r="103" spans="1:41" s="52" customFormat="1" ht="31.5">
      <c r="A103" s="253" t="s">
        <v>58</v>
      </c>
      <c r="B103" s="254" t="s">
        <v>211</v>
      </c>
      <c r="C103" s="204"/>
      <c r="D103" s="204"/>
      <c r="E103" s="204"/>
      <c r="F103" s="36">
        <f>F104</f>
        <v>306.59</v>
      </c>
      <c r="G103" s="204"/>
      <c r="H103" s="36">
        <f>H104</f>
        <v>306.59</v>
      </c>
      <c r="I103" s="204"/>
      <c r="J103" s="204"/>
      <c r="K103" s="34"/>
      <c r="L103" s="36">
        <f>L104</f>
        <v>306.59</v>
      </c>
      <c r="M103" s="34"/>
      <c r="N103" s="36">
        <f>N104</f>
        <v>0</v>
      </c>
      <c r="O103" s="34"/>
      <c r="P103" s="36">
        <f>P104</f>
        <v>0</v>
      </c>
      <c r="Q103" s="34"/>
      <c r="R103" s="36">
        <f>R104</f>
        <v>0</v>
      </c>
      <c r="S103" s="204"/>
      <c r="T103" s="204"/>
      <c r="U103" s="34"/>
      <c r="V103" s="204"/>
      <c r="W103" s="255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</row>
    <row r="104" spans="1:41" s="52" customFormat="1" ht="15.75">
      <c r="A104" s="256" t="s">
        <v>212</v>
      </c>
      <c r="B104" s="257" t="s">
        <v>213</v>
      </c>
      <c r="C104" s="34" t="s">
        <v>44</v>
      </c>
      <c r="D104" s="34"/>
      <c r="E104" s="34">
        <v>1</v>
      </c>
      <c r="F104" s="42">
        <v>306.59</v>
      </c>
      <c r="G104" s="204"/>
      <c r="H104" s="34">
        <f>F104</f>
        <v>306.59</v>
      </c>
      <c r="I104" s="204"/>
      <c r="J104" s="204"/>
      <c r="K104" s="34"/>
      <c r="L104" s="34">
        <f>F104</f>
        <v>306.59</v>
      </c>
      <c r="M104" s="34"/>
      <c r="N104" s="34"/>
      <c r="O104" s="34"/>
      <c r="P104" s="34"/>
      <c r="Q104" s="34"/>
      <c r="R104" s="34"/>
      <c r="S104" s="204"/>
      <c r="T104" s="204"/>
      <c r="U104" s="34">
        <v>81</v>
      </c>
      <c r="V104" s="204"/>
      <c r="W104" s="255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</row>
    <row r="105" spans="1:41" s="52" customFormat="1" ht="15.75">
      <c r="A105" s="253" t="s">
        <v>60</v>
      </c>
      <c r="B105" s="254" t="s">
        <v>137</v>
      </c>
      <c r="C105" s="34"/>
      <c r="D105" s="34"/>
      <c r="E105" s="34"/>
      <c r="F105" s="325">
        <f>F106</f>
        <v>1500</v>
      </c>
      <c r="G105" s="204"/>
      <c r="H105" s="36">
        <f>H106</f>
        <v>1500</v>
      </c>
      <c r="I105" s="204"/>
      <c r="J105" s="204"/>
      <c r="K105" s="34"/>
      <c r="L105" s="36">
        <f>L106</f>
        <v>0</v>
      </c>
      <c r="M105" s="34"/>
      <c r="N105" s="36">
        <f>N106</f>
        <v>1500</v>
      </c>
      <c r="O105" s="34"/>
      <c r="P105" s="36">
        <f>P106</f>
        <v>0</v>
      </c>
      <c r="Q105" s="34"/>
      <c r="R105" s="36">
        <f>R106</f>
        <v>0</v>
      </c>
      <c r="S105" s="204"/>
      <c r="T105" s="204"/>
      <c r="U105" s="34"/>
      <c r="V105" s="204"/>
      <c r="W105" s="255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</row>
    <row r="106" spans="1:41" s="52" customFormat="1" ht="31.5">
      <c r="A106" s="256" t="s">
        <v>214</v>
      </c>
      <c r="B106" s="257" t="s">
        <v>215</v>
      </c>
      <c r="C106" s="34"/>
      <c r="D106" s="34">
        <v>1.5</v>
      </c>
      <c r="E106" s="34">
        <v>1000</v>
      </c>
      <c r="F106" s="44">
        <f>E106*D106</f>
        <v>1500</v>
      </c>
      <c r="G106" s="50">
        <f>E106</f>
        <v>1000</v>
      </c>
      <c r="H106" s="34">
        <f>F106</f>
        <v>1500</v>
      </c>
      <c r="I106" s="204"/>
      <c r="J106" s="204"/>
      <c r="K106" s="34"/>
      <c r="L106" s="34"/>
      <c r="M106" s="34">
        <v>1000</v>
      </c>
      <c r="N106" s="34">
        <f>F106</f>
        <v>1500</v>
      </c>
      <c r="O106" s="34"/>
      <c r="P106" s="34"/>
      <c r="Q106" s="34"/>
      <c r="R106" s="34"/>
      <c r="S106" s="204"/>
      <c r="T106" s="204"/>
      <c r="U106" s="34"/>
      <c r="V106" s="204"/>
      <c r="W106" s="255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</row>
    <row r="107" spans="1:41" s="52" customFormat="1" ht="15.75">
      <c r="A107" s="253" t="s">
        <v>216</v>
      </c>
      <c r="B107" s="254" t="s">
        <v>73</v>
      </c>
      <c r="C107" s="34"/>
      <c r="D107" s="34"/>
      <c r="E107" s="34"/>
      <c r="F107" s="36">
        <f>F108+F109+F110+F111+F112</f>
        <v>25381.85</v>
      </c>
      <c r="G107" s="50">
        <f aca="true" t="shared" si="15" ref="G107:G120">E107</f>
        <v>0</v>
      </c>
      <c r="H107" s="36">
        <f>H108+H109+H110+H111+H112</f>
        <v>25381.85</v>
      </c>
      <c r="I107" s="204"/>
      <c r="J107" s="204"/>
      <c r="K107" s="34"/>
      <c r="L107" s="36">
        <f>L108+L109+L110+L111+L112</f>
        <v>19567.35</v>
      </c>
      <c r="M107" s="34"/>
      <c r="N107" s="36">
        <f>N108+N109+N110+N111+N112</f>
        <v>5689.719999999999</v>
      </c>
      <c r="O107" s="34"/>
      <c r="P107" s="36">
        <f>P108+P109+P110+P111+P112</f>
        <v>124.78</v>
      </c>
      <c r="Q107" s="34"/>
      <c r="R107" s="36">
        <f>R108+R109+R110+R111+R112</f>
        <v>0</v>
      </c>
      <c r="S107" s="204"/>
      <c r="T107" s="204"/>
      <c r="U107" s="34"/>
      <c r="V107" s="204"/>
      <c r="W107" s="255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</row>
    <row r="108" spans="1:41" s="52" customFormat="1" ht="31.5">
      <c r="A108" s="256" t="s">
        <v>217</v>
      </c>
      <c r="B108" s="257" t="s">
        <v>106</v>
      </c>
      <c r="C108" s="34" t="s">
        <v>50</v>
      </c>
      <c r="D108" s="34">
        <v>1.32</v>
      </c>
      <c r="E108" s="50">
        <v>291</v>
      </c>
      <c r="F108" s="44">
        <f>E108*D108</f>
        <v>384.12</v>
      </c>
      <c r="G108" s="50">
        <f t="shared" si="15"/>
        <v>291</v>
      </c>
      <c r="H108" s="34">
        <f>F108</f>
        <v>384.12</v>
      </c>
      <c r="I108" s="204"/>
      <c r="J108" s="204"/>
      <c r="K108" s="49"/>
      <c r="L108" s="34"/>
      <c r="M108" s="49">
        <v>291</v>
      </c>
      <c r="N108" s="34">
        <f>F108</f>
        <v>384.12</v>
      </c>
      <c r="O108" s="49"/>
      <c r="P108" s="49"/>
      <c r="Q108" s="49"/>
      <c r="R108" s="49"/>
      <c r="S108" s="204"/>
      <c r="T108" s="204"/>
      <c r="U108" s="34"/>
      <c r="V108" s="204"/>
      <c r="W108" s="255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</row>
    <row r="109" spans="1:41" s="52" customFormat="1" ht="31.5">
      <c r="A109" s="256" t="s">
        <v>218</v>
      </c>
      <c r="B109" s="257" t="s">
        <v>109</v>
      </c>
      <c r="C109" s="34" t="s">
        <v>50</v>
      </c>
      <c r="D109" s="34">
        <v>1.72</v>
      </c>
      <c r="E109" s="50">
        <v>1914</v>
      </c>
      <c r="F109" s="44">
        <f>E109*D109</f>
        <v>3292.08</v>
      </c>
      <c r="G109" s="50">
        <f t="shared" si="15"/>
        <v>1914</v>
      </c>
      <c r="H109" s="34">
        <f>F109</f>
        <v>3292.08</v>
      </c>
      <c r="I109" s="204"/>
      <c r="J109" s="204"/>
      <c r="K109" s="49">
        <v>1083</v>
      </c>
      <c r="L109" s="34">
        <f>K109*D109</f>
        <v>1862.76</v>
      </c>
      <c r="M109" s="49">
        <f>E109-K109</f>
        <v>831</v>
      </c>
      <c r="N109" s="34">
        <f>M109*D109</f>
        <v>1429.32</v>
      </c>
      <c r="O109" s="49"/>
      <c r="P109" s="49"/>
      <c r="Q109" s="49"/>
      <c r="R109" s="49"/>
      <c r="S109" s="204"/>
      <c r="T109" s="204"/>
      <c r="U109" s="34"/>
      <c r="V109" s="204"/>
      <c r="W109" s="255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</row>
    <row r="110" spans="1:41" s="52" customFormat="1" ht="15.75">
      <c r="A110" s="256" t="s">
        <v>219</v>
      </c>
      <c r="B110" s="257" t="s">
        <v>104</v>
      </c>
      <c r="C110" s="34" t="s">
        <v>50</v>
      </c>
      <c r="D110" s="34">
        <v>4.81</v>
      </c>
      <c r="E110" s="50">
        <v>10</v>
      </c>
      <c r="F110" s="44">
        <f>E110*D110</f>
        <v>48.099999999999994</v>
      </c>
      <c r="G110" s="50">
        <f t="shared" si="15"/>
        <v>10</v>
      </c>
      <c r="H110" s="34">
        <f>F110</f>
        <v>48.099999999999994</v>
      </c>
      <c r="I110" s="204"/>
      <c r="J110" s="204"/>
      <c r="K110" s="49"/>
      <c r="L110" s="34"/>
      <c r="M110" s="49"/>
      <c r="N110" s="34"/>
      <c r="O110" s="49">
        <v>10</v>
      </c>
      <c r="P110" s="34">
        <f>F110</f>
        <v>48.099999999999994</v>
      </c>
      <c r="Q110" s="49"/>
      <c r="R110" s="49"/>
      <c r="S110" s="204"/>
      <c r="T110" s="204"/>
      <c r="U110" s="34"/>
      <c r="V110" s="204"/>
      <c r="W110" s="255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</row>
    <row r="111" spans="1:41" s="52" customFormat="1" ht="31.5">
      <c r="A111" s="256" t="s">
        <v>220</v>
      </c>
      <c r="B111" s="257" t="s">
        <v>110</v>
      </c>
      <c r="C111" s="34" t="s">
        <v>50</v>
      </c>
      <c r="D111" s="34">
        <v>19.17</v>
      </c>
      <c r="E111" s="50">
        <v>4</v>
      </c>
      <c r="F111" s="44">
        <f>E111*D111</f>
        <v>76.68</v>
      </c>
      <c r="G111" s="50">
        <f t="shared" si="15"/>
        <v>4</v>
      </c>
      <c r="H111" s="34">
        <f>F111</f>
        <v>76.68</v>
      </c>
      <c r="I111" s="204"/>
      <c r="J111" s="204"/>
      <c r="K111" s="156"/>
      <c r="L111" s="34"/>
      <c r="M111" s="156"/>
      <c r="N111" s="34"/>
      <c r="O111" s="49">
        <v>4</v>
      </c>
      <c r="P111" s="34">
        <f>F111</f>
        <v>76.68</v>
      </c>
      <c r="Q111" s="156"/>
      <c r="R111" s="156"/>
      <c r="S111" s="204"/>
      <c r="T111" s="204"/>
      <c r="U111" s="34"/>
      <c r="V111" s="204"/>
      <c r="W111" s="255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</row>
    <row r="112" spans="1:41" s="52" customFormat="1" ht="15.75">
      <c r="A112" s="421" t="s">
        <v>354</v>
      </c>
      <c r="B112" s="422"/>
      <c r="C112" s="422"/>
      <c r="D112" s="237"/>
      <c r="E112" s="239"/>
      <c r="F112" s="246">
        <f>F113+F114+F115+F116</f>
        <v>21580.87</v>
      </c>
      <c r="G112" s="239"/>
      <c r="H112" s="246">
        <f>H113+H114+H115+H116</f>
        <v>21580.87</v>
      </c>
      <c r="I112" s="269"/>
      <c r="J112" s="269"/>
      <c r="K112" s="237"/>
      <c r="L112" s="246">
        <f>L113+L114+L115+L116</f>
        <v>17704.59</v>
      </c>
      <c r="M112" s="237"/>
      <c r="N112" s="246">
        <f>N113+N114+N115+N116</f>
        <v>3876.2799999999997</v>
      </c>
      <c r="O112" s="237"/>
      <c r="P112" s="246">
        <f>P113+P114+P115+P116</f>
        <v>0</v>
      </c>
      <c r="Q112" s="237"/>
      <c r="R112" s="246">
        <f>R113+R114+R115+R116</f>
        <v>0</v>
      </c>
      <c r="S112" s="269"/>
      <c r="T112" s="269"/>
      <c r="U112" s="237"/>
      <c r="V112" s="269"/>
      <c r="W112" s="255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</row>
    <row r="113" spans="1:41" s="52" customFormat="1" ht="31.5">
      <c r="A113" s="256" t="s">
        <v>363</v>
      </c>
      <c r="B113" s="257" t="s">
        <v>106</v>
      </c>
      <c r="C113" s="34" t="s">
        <v>50</v>
      </c>
      <c r="D113" s="34">
        <v>1.32</v>
      </c>
      <c r="E113" s="50">
        <v>152</v>
      </c>
      <c r="F113" s="34">
        <f>E113*D113</f>
        <v>200.64000000000001</v>
      </c>
      <c r="G113" s="50">
        <f aca="true" t="shared" si="16" ref="G113:H116">E113</f>
        <v>152</v>
      </c>
      <c r="H113" s="34">
        <f t="shared" si="16"/>
        <v>200.64000000000001</v>
      </c>
      <c r="I113" s="204"/>
      <c r="J113" s="204"/>
      <c r="K113" s="34"/>
      <c r="L113" s="34"/>
      <c r="M113" s="34"/>
      <c r="N113" s="34">
        <f>F113</f>
        <v>200.64000000000001</v>
      </c>
      <c r="O113" s="34"/>
      <c r="P113" s="34"/>
      <c r="Q113" s="34"/>
      <c r="R113" s="34"/>
      <c r="S113" s="204"/>
      <c r="T113" s="204"/>
      <c r="U113" s="34"/>
      <c r="V113" s="204"/>
      <c r="W113" s="255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</row>
    <row r="114" spans="1:41" s="52" customFormat="1" ht="31.5">
      <c r="A114" s="256" t="s">
        <v>364</v>
      </c>
      <c r="B114" s="257" t="s">
        <v>109</v>
      </c>
      <c r="C114" s="34" t="s">
        <v>50</v>
      </c>
      <c r="D114" s="34">
        <v>1.72</v>
      </c>
      <c r="E114" s="50">
        <v>12249</v>
      </c>
      <c r="F114" s="34">
        <f>E114*D114</f>
        <v>21068.28</v>
      </c>
      <c r="G114" s="50">
        <f t="shared" si="16"/>
        <v>12249</v>
      </c>
      <c r="H114" s="34">
        <f t="shared" si="16"/>
        <v>21068.28</v>
      </c>
      <c r="I114" s="204"/>
      <c r="J114" s="204"/>
      <c r="K114" s="50">
        <v>10112</v>
      </c>
      <c r="L114" s="34">
        <f>K114*D114</f>
        <v>17392.64</v>
      </c>
      <c r="M114" s="50">
        <f>E114-K114</f>
        <v>2137</v>
      </c>
      <c r="N114" s="34">
        <f>M114*D114</f>
        <v>3675.64</v>
      </c>
      <c r="O114" s="34"/>
      <c r="P114" s="34"/>
      <c r="Q114" s="34"/>
      <c r="R114" s="34"/>
      <c r="S114" s="204"/>
      <c r="T114" s="204"/>
      <c r="U114" s="34"/>
      <c r="V114" s="204"/>
      <c r="W114" s="255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</row>
    <row r="115" spans="1:41" s="52" customFormat="1" ht="15.75">
      <c r="A115" s="256" t="s">
        <v>365</v>
      </c>
      <c r="B115" s="257" t="s">
        <v>104</v>
      </c>
      <c r="C115" s="34" t="s">
        <v>50</v>
      </c>
      <c r="D115" s="34">
        <v>4.81</v>
      </c>
      <c r="E115" s="50">
        <v>25</v>
      </c>
      <c r="F115" s="34">
        <f>E115*D115</f>
        <v>120.24999999999999</v>
      </c>
      <c r="G115" s="50">
        <f t="shared" si="16"/>
        <v>25</v>
      </c>
      <c r="H115" s="34">
        <f t="shared" si="16"/>
        <v>120.24999999999999</v>
      </c>
      <c r="I115" s="204"/>
      <c r="J115" s="204"/>
      <c r="K115" s="50">
        <v>25</v>
      </c>
      <c r="L115" s="34">
        <f>H115</f>
        <v>120.24999999999999</v>
      </c>
      <c r="M115" s="34"/>
      <c r="N115" s="34"/>
      <c r="O115" s="34"/>
      <c r="P115" s="34"/>
      <c r="Q115" s="34"/>
      <c r="R115" s="34"/>
      <c r="S115" s="204"/>
      <c r="T115" s="204"/>
      <c r="U115" s="34"/>
      <c r="V115" s="204"/>
      <c r="W115" s="255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</row>
    <row r="116" spans="1:41" s="52" customFormat="1" ht="31.5">
      <c r="A116" s="256" t="s">
        <v>366</v>
      </c>
      <c r="B116" s="257" t="s">
        <v>110</v>
      </c>
      <c r="C116" s="34" t="s">
        <v>50</v>
      </c>
      <c r="D116" s="34">
        <v>19.17</v>
      </c>
      <c r="E116" s="50">
        <v>10</v>
      </c>
      <c r="F116" s="34">
        <f>E116*D116</f>
        <v>191.70000000000002</v>
      </c>
      <c r="G116" s="50">
        <f t="shared" si="16"/>
        <v>10</v>
      </c>
      <c r="H116" s="34">
        <f t="shared" si="16"/>
        <v>191.70000000000002</v>
      </c>
      <c r="I116" s="204"/>
      <c r="J116" s="204"/>
      <c r="K116" s="50">
        <v>10</v>
      </c>
      <c r="L116" s="34">
        <f>H116</f>
        <v>191.70000000000002</v>
      </c>
      <c r="M116" s="34"/>
      <c r="N116" s="34"/>
      <c r="O116" s="34"/>
      <c r="P116" s="34"/>
      <c r="Q116" s="34"/>
      <c r="R116" s="34"/>
      <c r="S116" s="204"/>
      <c r="T116" s="204"/>
      <c r="U116" s="34"/>
      <c r="V116" s="204"/>
      <c r="W116" s="255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</row>
    <row r="117" spans="1:41" s="52" customFormat="1" ht="15.75">
      <c r="A117" s="253" t="s">
        <v>221</v>
      </c>
      <c r="B117" s="254" t="s">
        <v>82</v>
      </c>
      <c r="C117" s="34"/>
      <c r="D117" s="34"/>
      <c r="E117" s="50"/>
      <c r="F117" s="36">
        <f>F118+F119+F120+F121</f>
        <v>772.3399999999999</v>
      </c>
      <c r="G117" s="50">
        <f t="shared" si="15"/>
        <v>0</v>
      </c>
      <c r="H117" s="36">
        <f>H118+H119+H120+H121</f>
        <v>772.3399999999999</v>
      </c>
      <c r="I117" s="204"/>
      <c r="J117" s="204"/>
      <c r="K117" s="34"/>
      <c r="L117" s="36">
        <f>L118+L119+L120+L121</f>
        <v>772.3399999999999</v>
      </c>
      <c r="M117" s="34"/>
      <c r="N117" s="36">
        <f>N118+N119+N120+N121</f>
        <v>0</v>
      </c>
      <c r="O117" s="34"/>
      <c r="P117" s="36">
        <f>P118+P119+P120+P121</f>
        <v>0</v>
      </c>
      <c r="Q117" s="34"/>
      <c r="R117" s="36">
        <f>R118+R119+R120+R121</f>
        <v>0</v>
      </c>
      <c r="S117" s="204"/>
      <c r="T117" s="204"/>
      <c r="U117" s="34">
        <v>85</v>
      </c>
      <c r="V117" s="204"/>
      <c r="W117" s="255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</row>
    <row r="118" spans="1:41" s="52" customFormat="1" ht="15.75">
      <c r="A118" s="256" t="s">
        <v>306</v>
      </c>
      <c r="B118" s="257" t="s">
        <v>107</v>
      </c>
      <c r="C118" s="34" t="s">
        <v>50</v>
      </c>
      <c r="D118" s="34">
        <v>8.11</v>
      </c>
      <c r="E118" s="50">
        <v>40</v>
      </c>
      <c r="F118" s="44">
        <f>E118*D118</f>
        <v>324.4</v>
      </c>
      <c r="G118" s="50">
        <f t="shared" si="15"/>
        <v>40</v>
      </c>
      <c r="H118" s="34">
        <f>F118</f>
        <v>324.4</v>
      </c>
      <c r="I118" s="204"/>
      <c r="J118" s="204"/>
      <c r="K118" s="50">
        <v>40</v>
      </c>
      <c r="L118" s="34">
        <f>F118</f>
        <v>324.4</v>
      </c>
      <c r="M118" s="34"/>
      <c r="N118" s="34"/>
      <c r="O118" s="34"/>
      <c r="P118" s="34"/>
      <c r="Q118" s="34"/>
      <c r="R118" s="34"/>
      <c r="S118" s="204"/>
      <c r="T118" s="204"/>
      <c r="U118" s="34"/>
      <c r="V118" s="204"/>
      <c r="W118" s="255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</row>
    <row r="119" spans="1:41" s="52" customFormat="1" ht="15.75">
      <c r="A119" s="256" t="s">
        <v>307</v>
      </c>
      <c r="B119" s="257" t="s">
        <v>108</v>
      </c>
      <c r="C119" s="34" t="s">
        <v>50</v>
      </c>
      <c r="D119" s="34">
        <v>4.9</v>
      </c>
      <c r="E119" s="50">
        <v>11</v>
      </c>
      <c r="F119" s="42">
        <f>E119*D119</f>
        <v>53.900000000000006</v>
      </c>
      <c r="G119" s="50">
        <f t="shared" si="15"/>
        <v>11</v>
      </c>
      <c r="H119" s="34">
        <f>F119</f>
        <v>53.900000000000006</v>
      </c>
      <c r="I119" s="204"/>
      <c r="J119" s="204"/>
      <c r="K119" s="50">
        <v>11</v>
      </c>
      <c r="L119" s="34">
        <f>F119</f>
        <v>53.900000000000006</v>
      </c>
      <c r="M119" s="34"/>
      <c r="N119" s="34"/>
      <c r="O119" s="34"/>
      <c r="P119" s="34"/>
      <c r="Q119" s="34"/>
      <c r="R119" s="34"/>
      <c r="S119" s="204"/>
      <c r="T119" s="204"/>
      <c r="U119" s="34"/>
      <c r="V119" s="204"/>
      <c r="W119" s="255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</row>
    <row r="120" spans="1:41" s="52" customFormat="1" ht="15.75">
      <c r="A120" s="256" t="s">
        <v>308</v>
      </c>
      <c r="B120" s="257" t="s">
        <v>83</v>
      </c>
      <c r="C120" s="34" t="s">
        <v>50</v>
      </c>
      <c r="D120" s="34">
        <v>0.48</v>
      </c>
      <c r="E120" s="50">
        <v>21</v>
      </c>
      <c r="F120" s="44">
        <f>E120*D120</f>
        <v>10.08</v>
      </c>
      <c r="G120" s="50">
        <f t="shared" si="15"/>
        <v>21</v>
      </c>
      <c r="H120" s="34">
        <f>F120</f>
        <v>10.08</v>
      </c>
      <c r="I120" s="204"/>
      <c r="J120" s="204"/>
      <c r="K120" s="50">
        <v>21</v>
      </c>
      <c r="L120" s="34">
        <f>F120</f>
        <v>10.08</v>
      </c>
      <c r="M120" s="34"/>
      <c r="N120" s="34"/>
      <c r="O120" s="34"/>
      <c r="P120" s="34"/>
      <c r="Q120" s="34"/>
      <c r="R120" s="34"/>
      <c r="S120" s="204"/>
      <c r="T120" s="204"/>
      <c r="U120" s="34"/>
      <c r="V120" s="204"/>
      <c r="W120" s="255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</row>
    <row r="121" spans="1:41" s="52" customFormat="1" ht="15.75" customHeight="1">
      <c r="A121" s="421" t="s">
        <v>354</v>
      </c>
      <c r="B121" s="422"/>
      <c r="C121" s="422"/>
      <c r="D121" s="271"/>
      <c r="E121" s="275"/>
      <c r="F121" s="237">
        <f>F122+F123+F124</f>
        <v>383.96</v>
      </c>
      <c r="G121" s="237"/>
      <c r="H121" s="237">
        <f>H122+H123+H124</f>
        <v>383.96</v>
      </c>
      <c r="I121" s="269"/>
      <c r="J121" s="269"/>
      <c r="K121" s="237"/>
      <c r="L121" s="237">
        <f>L122+L123+L124</f>
        <v>383.96</v>
      </c>
      <c r="M121" s="237"/>
      <c r="N121" s="237">
        <f>N122+N123+N124</f>
        <v>0</v>
      </c>
      <c r="O121" s="237"/>
      <c r="P121" s="237">
        <f>P122+P123+P124</f>
        <v>0</v>
      </c>
      <c r="Q121" s="237"/>
      <c r="R121" s="237">
        <f>R122+R123+R124</f>
        <v>0</v>
      </c>
      <c r="S121" s="269"/>
      <c r="T121" s="269"/>
      <c r="U121" s="237"/>
      <c r="V121" s="269"/>
      <c r="W121" s="255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</row>
    <row r="122" spans="1:41" s="52" customFormat="1" ht="15.75">
      <c r="A122" s="256" t="s">
        <v>367</v>
      </c>
      <c r="B122" s="257" t="s">
        <v>107</v>
      </c>
      <c r="C122" s="34" t="s">
        <v>50</v>
      </c>
      <c r="D122" s="34">
        <v>8.11</v>
      </c>
      <c r="E122" s="50">
        <v>40</v>
      </c>
      <c r="F122" s="34">
        <f>E122*D122</f>
        <v>324.4</v>
      </c>
      <c r="G122" s="50">
        <f aca="true" t="shared" si="17" ref="G122:H124">E122</f>
        <v>40</v>
      </c>
      <c r="H122" s="34">
        <f t="shared" si="17"/>
        <v>324.4</v>
      </c>
      <c r="I122" s="204"/>
      <c r="J122" s="204"/>
      <c r="K122" s="50">
        <v>40</v>
      </c>
      <c r="L122" s="34">
        <f>F122</f>
        <v>324.4</v>
      </c>
      <c r="M122" s="34"/>
      <c r="N122" s="34"/>
      <c r="O122" s="34"/>
      <c r="P122" s="34"/>
      <c r="Q122" s="34"/>
      <c r="R122" s="34"/>
      <c r="S122" s="204"/>
      <c r="T122" s="204"/>
      <c r="U122" s="34"/>
      <c r="V122" s="204"/>
      <c r="W122" s="255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</row>
    <row r="123" spans="1:41" s="52" customFormat="1" ht="15.75">
      <c r="A123" s="256" t="s">
        <v>368</v>
      </c>
      <c r="B123" s="257" t="s">
        <v>108</v>
      </c>
      <c r="C123" s="34" t="s">
        <v>50</v>
      </c>
      <c r="D123" s="34">
        <v>4.9</v>
      </c>
      <c r="E123" s="50">
        <v>10</v>
      </c>
      <c r="F123" s="34">
        <f>E123*D123</f>
        <v>49</v>
      </c>
      <c r="G123" s="50">
        <f t="shared" si="17"/>
        <v>10</v>
      </c>
      <c r="H123" s="34">
        <f t="shared" si="17"/>
        <v>49</v>
      </c>
      <c r="I123" s="204"/>
      <c r="J123" s="204"/>
      <c r="K123" s="50">
        <v>10</v>
      </c>
      <c r="L123" s="34">
        <f>F123</f>
        <v>49</v>
      </c>
      <c r="M123" s="34"/>
      <c r="N123" s="34"/>
      <c r="O123" s="34"/>
      <c r="P123" s="34"/>
      <c r="Q123" s="34"/>
      <c r="R123" s="34"/>
      <c r="S123" s="204"/>
      <c r="T123" s="204"/>
      <c r="U123" s="34"/>
      <c r="V123" s="204"/>
      <c r="W123" s="255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</row>
    <row r="124" spans="1:41" s="52" customFormat="1" ht="15.75">
      <c r="A124" s="256" t="s">
        <v>369</v>
      </c>
      <c r="B124" s="257" t="s">
        <v>83</v>
      </c>
      <c r="C124" s="34" t="s">
        <v>50</v>
      </c>
      <c r="D124" s="34">
        <v>0.48</v>
      </c>
      <c r="E124" s="50">
        <v>22</v>
      </c>
      <c r="F124" s="34">
        <f>E124*D124</f>
        <v>10.559999999999999</v>
      </c>
      <c r="G124" s="50">
        <f t="shared" si="17"/>
        <v>22</v>
      </c>
      <c r="H124" s="34">
        <f t="shared" si="17"/>
        <v>10.559999999999999</v>
      </c>
      <c r="I124" s="204"/>
      <c r="J124" s="204"/>
      <c r="K124" s="50">
        <v>22</v>
      </c>
      <c r="L124" s="34">
        <f>F124</f>
        <v>10.559999999999999</v>
      </c>
      <c r="M124" s="34"/>
      <c r="N124" s="34"/>
      <c r="O124" s="34"/>
      <c r="P124" s="34"/>
      <c r="Q124" s="34"/>
      <c r="R124" s="34"/>
      <c r="S124" s="204"/>
      <c r="T124" s="204"/>
      <c r="U124" s="34"/>
      <c r="V124" s="204"/>
      <c r="W124" s="255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</row>
    <row r="125" spans="1:41" s="216" customFormat="1" ht="15.75">
      <c r="A125" s="401" t="s">
        <v>309</v>
      </c>
      <c r="B125" s="402"/>
      <c r="C125" s="402"/>
      <c r="D125" s="402"/>
      <c r="E125" s="403"/>
      <c r="F125" s="162">
        <f>F117+F107+F105+F103</f>
        <v>27960.78</v>
      </c>
      <c r="G125" s="162"/>
      <c r="H125" s="162">
        <f>H117+H107+H105+H103</f>
        <v>27960.78</v>
      </c>
      <c r="I125" s="162"/>
      <c r="J125" s="162"/>
      <c r="K125" s="195"/>
      <c r="L125" s="162">
        <f>L117+L107+L105+L103</f>
        <v>20646.28</v>
      </c>
      <c r="M125" s="195"/>
      <c r="N125" s="162">
        <f>N117+N107+N105+N103</f>
        <v>7189.719999999999</v>
      </c>
      <c r="O125" s="195"/>
      <c r="P125" s="162">
        <f>P117+P107+P105+P103</f>
        <v>124.78</v>
      </c>
      <c r="Q125" s="195"/>
      <c r="R125" s="162">
        <f>R117+R107+R105+R103</f>
        <v>0</v>
      </c>
      <c r="S125" s="195"/>
      <c r="T125" s="195"/>
      <c r="U125" s="63"/>
      <c r="V125" s="195"/>
      <c r="W125" s="258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</row>
    <row r="126" spans="1:41" s="216" customFormat="1" ht="15.75" customHeight="1">
      <c r="A126" s="421" t="s">
        <v>354</v>
      </c>
      <c r="B126" s="422"/>
      <c r="C126" s="422"/>
      <c r="D126" s="272"/>
      <c r="E126" s="272"/>
      <c r="F126" s="246">
        <f>F121+F112</f>
        <v>21964.829999999998</v>
      </c>
      <c r="G126" s="273"/>
      <c r="H126" s="273"/>
      <c r="I126" s="273"/>
      <c r="J126" s="273"/>
      <c r="K126" s="274"/>
      <c r="L126" s="273"/>
      <c r="M126" s="274"/>
      <c r="N126" s="273"/>
      <c r="O126" s="274"/>
      <c r="P126" s="273"/>
      <c r="Q126" s="274"/>
      <c r="R126" s="273"/>
      <c r="S126" s="274"/>
      <c r="T126" s="274"/>
      <c r="U126" s="373"/>
      <c r="V126" s="274"/>
      <c r="W126" s="270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</row>
    <row r="127" spans="1:41" s="52" customFormat="1" ht="15.75">
      <c r="A127" s="404" t="s">
        <v>310</v>
      </c>
      <c r="B127" s="405"/>
      <c r="C127" s="405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5"/>
      <c r="T127" s="405"/>
      <c r="U127" s="405"/>
      <c r="V127" s="405"/>
      <c r="W127" s="406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</row>
    <row r="128" spans="1:23" s="144" customFormat="1" ht="15.75">
      <c r="A128" s="167" t="s">
        <v>311</v>
      </c>
      <c r="B128" s="45" t="s">
        <v>350</v>
      </c>
      <c r="C128" s="43" t="s">
        <v>21</v>
      </c>
      <c r="D128" s="43">
        <v>1843.86</v>
      </c>
      <c r="E128" s="142">
        <v>0.37609</v>
      </c>
      <c r="F128" s="142">
        <f>E128*D128</f>
        <v>693.4573073999999</v>
      </c>
      <c r="G128" s="142">
        <f>E128</f>
        <v>0.37609</v>
      </c>
      <c r="H128" s="142">
        <f>F128</f>
        <v>693.4573073999999</v>
      </c>
      <c r="I128" s="142"/>
      <c r="J128" s="142"/>
      <c r="K128" s="168"/>
      <c r="L128" s="168"/>
      <c r="M128" s="178"/>
      <c r="N128" s="168">
        <f>375.17+37.88</f>
        <v>413.05</v>
      </c>
      <c r="O128" s="168"/>
      <c r="P128" s="168"/>
      <c r="Q128" s="178">
        <f>E128</f>
        <v>0.37609</v>
      </c>
      <c r="R128" s="168">
        <f>F128-N128</f>
        <v>280.40730739999987</v>
      </c>
      <c r="S128" s="200"/>
      <c r="T128" s="200"/>
      <c r="U128" s="365" t="s">
        <v>389</v>
      </c>
      <c r="V128" s="131"/>
      <c r="W128" s="76"/>
    </row>
    <row r="129" spans="1:41" s="216" customFormat="1" ht="15.75">
      <c r="A129" s="407" t="s">
        <v>312</v>
      </c>
      <c r="B129" s="408"/>
      <c r="C129" s="408"/>
      <c r="D129" s="408"/>
      <c r="E129" s="409"/>
      <c r="F129" s="68">
        <v>693.46</v>
      </c>
      <c r="G129" s="68"/>
      <c r="H129" s="68">
        <f>H128</f>
        <v>693.4573073999999</v>
      </c>
      <c r="I129" s="68"/>
      <c r="J129" s="68"/>
      <c r="K129" s="69"/>
      <c r="L129" s="68">
        <f>L128</f>
        <v>0</v>
      </c>
      <c r="M129" s="69"/>
      <c r="N129" s="68">
        <f>N128</f>
        <v>413.05</v>
      </c>
      <c r="O129" s="69"/>
      <c r="P129" s="68">
        <f>P128</f>
        <v>0</v>
      </c>
      <c r="Q129" s="69"/>
      <c r="R129" s="68">
        <f>R128</f>
        <v>280.40730739999987</v>
      </c>
      <c r="S129" s="70"/>
      <c r="T129" s="70"/>
      <c r="U129" s="356"/>
      <c r="V129" s="70"/>
      <c r="W129" s="130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</row>
    <row r="130" spans="1:41" s="216" customFormat="1" ht="15.75">
      <c r="A130" s="277" t="s">
        <v>354</v>
      </c>
      <c r="B130" s="278"/>
      <c r="C130" s="278"/>
      <c r="D130" s="278"/>
      <c r="E130" s="278"/>
      <c r="F130" s="282">
        <v>0</v>
      </c>
      <c r="G130" s="279"/>
      <c r="H130" s="279"/>
      <c r="I130" s="279"/>
      <c r="J130" s="279"/>
      <c r="K130" s="280"/>
      <c r="L130" s="279"/>
      <c r="M130" s="280"/>
      <c r="N130" s="279"/>
      <c r="O130" s="280"/>
      <c r="P130" s="279"/>
      <c r="Q130" s="280"/>
      <c r="R130" s="279"/>
      <c r="S130" s="281"/>
      <c r="T130" s="281"/>
      <c r="U130" s="375"/>
      <c r="V130" s="281"/>
      <c r="W130" s="276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</row>
    <row r="131" spans="1:41" s="52" customFormat="1" ht="15.75">
      <c r="A131" s="380" t="s">
        <v>313</v>
      </c>
      <c r="B131" s="381"/>
      <c r="C131" s="381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7" t="s">
        <v>390</v>
      </c>
      <c r="V131" s="381"/>
      <c r="W131" s="382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</row>
    <row r="132" spans="1:23" s="144" customFormat="1" ht="15.75">
      <c r="A132" s="117" t="s">
        <v>314</v>
      </c>
      <c r="B132" s="104" t="s">
        <v>89</v>
      </c>
      <c r="C132" s="73"/>
      <c r="D132" s="74"/>
      <c r="E132" s="73"/>
      <c r="F132" s="119">
        <f>F133+F134+F135</f>
        <v>89.49</v>
      </c>
      <c r="G132" s="75"/>
      <c r="H132" s="119">
        <f>H133+H134+H135</f>
        <v>89.49</v>
      </c>
      <c r="I132" s="75"/>
      <c r="J132" s="75"/>
      <c r="K132" s="112"/>
      <c r="L132" s="119">
        <f>L133+L134+L135</f>
        <v>65.83</v>
      </c>
      <c r="M132" s="112"/>
      <c r="N132" s="119">
        <f>N133+N134+N135</f>
        <v>23.66</v>
      </c>
      <c r="O132" s="112"/>
      <c r="P132" s="119">
        <f>P133+P134+P135</f>
        <v>0</v>
      </c>
      <c r="Q132" s="112"/>
      <c r="R132" s="119">
        <f>R133+R134+R135</f>
        <v>0</v>
      </c>
      <c r="S132" s="66"/>
      <c r="T132" s="66"/>
      <c r="U132" s="54"/>
      <c r="V132" s="66"/>
      <c r="W132" s="76"/>
    </row>
    <row r="133" spans="1:23" s="144" customFormat="1" ht="15.75">
      <c r="A133" s="116" t="s">
        <v>49</v>
      </c>
      <c r="B133" s="78" t="s">
        <v>90</v>
      </c>
      <c r="C133" s="77" t="s">
        <v>50</v>
      </c>
      <c r="D133" s="79">
        <v>5.83</v>
      </c>
      <c r="E133" s="179">
        <v>2</v>
      </c>
      <c r="F133" s="80">
        <f>E133*D133</f>
        <v>11.66</v>
      </c>
      <c r="G133" s="353">
        <f>E133</f>
        <v>2</v>
      </c>
      <c r="H133" s="80">
        <f>F133</f>
        <v>11.66</v>
      </c>
      <c r="I133" s="81"/>
      <c r="J133" s="81"/>
      <c r="K133" s="54"/>
      <c r="L133" s="79"/>
      <c r="M133" s="112">
        <v>2</v>
      </c>
      <c r="N133" s="79">
        <f>F133</f>
        <v>11.66</v>
      </c>
      <c r="O133" s="112"/>
      <c r="P133" s="126"/>
      <c r="Q133" s="112"/>
      <c r="R133" s="126"/>
      <c r="S133" s="66"/>
      <c r="T133" s="66"/>
      <c r="U133" s="368"/>
      <c r="V133" s="76"/>
      <c r="W133" s="66"/>
    </row>
    <row r="134" spans="1:23" s="144" customFormat="1" ht="15.75">
      <c r="A134" s="116" t="s">
        <v>51</v>
      </c>
      <c r="B134" s="82" t="s">
        <v>74</v>
      </c>
      <c r="C134" s="83" t="s">
        <v>50</v>
      </c>
      <c r="D134" s="122">
        <v>12</v>
      </c>
      <c r="E134" s="180">
        <v>1</v>
      </c>
      <c r="F134" s="80">
        <f>E134*D134</f>
        <v>12</v>
      </c>
      <c r="G134" s="353">
        <f aca="true" t="shared" si="18" ref="G134:G152">E134</f>
        <v>1</v>
      </c>
      <c r="H134" s="80">
        <f>F134</f>
        <v>12</v>
      </c>
      <c r="I134" s="84"/>
      <c r="J134" s="80"/>
      <c r="K134" s="54"/>
      <c r="L134" s="44"/>
      <c r="M134" s="54">
        <v>1</v>
      </c>
      <c r="N134" s="79">
        <f>F134</f>
        <v>12</v>
      </c>
      <c r="O134" s="54"/>
      <c r="P134" s="54"/>
      <c r="Q134" s="112"/>
      <c r="R134" s="112"/>
      <c r="S134" s="66"/>
      <c r="T134" s="66"/>
      <c r="U134" s="368"/>
      <c r="V134" s="66"/>
      <c r="W134" s="66"/>
    </row>
    <row r="135" spans="1:23" s="144" customFormat="1" ht="15.75">
      <c r="A135" s="410" t="s">
        <v>354</v>
      </c>
      <c r="B135" s="411"/>
      <c r="C135" s="411"/>
      <c r="D135" s="284"/>
      <c r="E135" s="285"/>
      <c r="F135" s="286">
        <f>F136+F137</f>
        <v>65.83</v>
      </c>
      <c r="G135" s="354"/>
      <c r="H135" s="286">
        <f>H136+H137</f>
        <v>65.83</v>
      </c>
      <c r="I135" s="288"/>
      <c r="J135" s="287"/>
      <c r="K135" s="236"/>
      <c r="L135" s="286">
        <f>L136+L137</f>
        <v>65.83</v>
      </c>
      <c r="M135" s="236"/>
      <c r="N135" s="286">
        <f>N136+N137</f>
        <v>0</v>
      </c>
      <c r="O135" s="236"/>
      <c r="P135" s="286">
        <f>P136+P137</f>
        <v>0</v>
      </c>
      <c r="Q135" s="289"/>
      <c r="R135" s="286">
        <f>R136+R137</f>
        <v>0</v>
      </c>
      <c r="S135" s="290"/>
      <c r="T135" s="290"/>
      <c r="U135" s="367"/>
      <c r="V135" s="290"/>
      <c r="W135" s="66"/>
    </row>
    <row r="136" spans="1:23" s="144" customFormat="1" ht="15.75">
      <c r="A136" s="116"/>
      <c r="B136" s="283" t="s">
        <v>90</v>
      </c>
      <c r="C136" s="77" t="s">
        <v>50</v>
      </c>
      <c r="D136" s="86">
        <v>5.83</v>
      </c>
      <c r="E136" s="182">
        <v>1</v>
      </c>
      <c r="F136" s="80">
        <f>E136*D136</f>
        <v>5.83</v>
      </c>
      <c r="G136" s="353">
        <f>E136</f>
        <v>1</v>
      </c>
      <c r="H136" s="80">
        <f>F136</f>
        <v>5.83</v>
      </c>
      <c r="I136" s="84"/>
      <c r="J136" s="80"/>
      <c r="K136" s="54">
        <v>1</v>
      </c>
      <c r="L136" s="44">
        <f>F136</f>
        <v>5.83</v>
      </c>
      <c r="M136" s="54"/>
      <c r="N136" s="54"/>
      <c r="O136" s="54"/>
      <c r="P136" s="54"/>
      <c r="Q136" s="112"/>
      <c r="R136" s="112"/>
      <c r="S136" s="66"/>
      <c r="T136" s="66"/>
      <c r="U136" s="368"/>
      <c r="V136" s="66"/>
      <c r="W136" s="66"/>
    </row>
    <row r="137" spans="1:23" s="144" customFormat="1" ht="15.75">
      <c r="A137" s="116"/>
      <c r="B137" s="283" t="s">
        <v>74</v>
      </c>
      <c r="C137" s="77" t="s">
        <v>50</v>
      </c>
      <c r="D137" s="86">
        <v>12</v>
      </c>
      <c r="E137" s="182">
        <v>5</v>
      </c>
      <c r="F137" s="80">
        <f>E137*D137</f>
        <v>60</v>
      </c>
      <c r="G137" s="353">
        <f>E137</f>
        <v>5</v>
      </c>
      <c r="H137" s="80">
        <f>F137</f>
        <v>60</v>
      </c>
      <c r="I137" s="84"/>
      <c r="J137" s="80"/>
      <c r="K137" s="54">
        <v>5</v>
      </c>
      <c r="L137" s="44">
        <f>F137</f>
        <v>60</v>
      </c>
      <c r="M137" s="54"/>
      <c r="N137" s="54"/>
      <c r="O137" s="54"/>
      <c r="P137" s="54"/>
      <c r="Q137" s="112"/>
      <c r="R137" s="112"/>
      <c r="S137" s="66"/>
      <c r="T137" s="66"/>
      <c r="U137" s="368"/>
      <c r="V137" s="66"/>
      <c r="W137" s="66"/>
    </row>
    <row r="138" spans="1:23" s="144" customFormat="1" ht="15.75">
      <c r="A138" s="118" t="s">
        <v>315</v>
      </c>
      <c r="B138" s="105" t="s">
        <v>91</v>
      </c>
      <c r="C138" s="77"/>
      <c r="D138" s="86"/>
      <c r="E138" s="181"/>
      <c r="F138" s="81">
        <f>F140+F141+F142</f>
        <v>104.4</v>
      </c>
      <c r="G138" s="353"/>
      <c r="H138" s="81">
        <f>H140+H141+H142</f>
        <v>104.4</v>
      </c>
      <c r="I138" s="84"/>
      <c r="J138" s="80"/>
      <c r="K138" s="112"/>
      <c r="L138" s="81">
        <f>L140+L141+L142</f>
        <v>0</v>
      </c>
      <c r="M138" s="112"/>
      <c r="N138" s="81">
        <f>N140+N141+N142</f>
        <v>104.4</v>
      </c>
      <c r="O138" s="54"/>
      <c r="P138" s="81">
        <f>P140+P141+P142</f>
        <v>0</v>
      </c>
      <c r="Q138" s="112"/>
      <c r="R138" s="81">
        <f>R140+R141+R142</f>
        <v>0</v>
      </c>
      <c r="S138" s="66"/>
      <c r="T138" s="66"/>
      <c r="U138" s="54"/>
      <c r="V138" s="66"/>
      <c r="W138" s="66"/>
    </row>
    <row r="139" spans="1:23" s="144" customFormat="1" ht="15.75">
      <c r="A139" s="412" t="s">
        <v>354</v>
      </c>
      <c r="B139" s="413"/>
      <c r="C139" s="414"/>
      <c r="D139" s="291"/>
      <c r="E139" s="292"/>
      <c r="F139" s="293">
        <f>F140+F141+F142</f>
        <v>104.4</v>
      </c>
      <c r="G139" s="354"/>
      <c r="H139" s="293">
        <f>H140+H141+H142</f>
        <v>104.4</v>
      </c>
      <c r="I139" s="288"/>
      <c r="J139" s="287"/>
      <c r="K139" s="289"/>
      <c r="L139" s="293">
        <f>L140+L141+L142</f>
        <v>0</v>
      </c>
      <c r="M139" s="289"/>
      <c r="N139" s="293">
        <f>N140+N141+N142</f>
        <v>104.4</v>
      </c>
      <c r="O139" s="236"/>
      <c r="P139" s="293">
        <f>P140+P141+P142</f>
        <v>0</v>
      </c>
      <c r="Q139" s="289"/>
      <c r="R139" s="293">
        <f>R140+R141+R142</f>
        <v>0</v>
      </c>
      <c r="S139" s="290"/>
      <c r="T139" s="290"/>
      <c r="U139" s="236"/>
      <c r="V139" s="290"/>
      <c r="W139" s="66"/>
    </row>
    <row r="140" spans="1:23" s="144" customFormat="1" ht="15.75">
      <c r="A140" s="116" t="s">
        <v>52</v>
      </c>
      <c r="B140" s="85" t="s">
        <v>92</v>
      </c>
      <c r="C140" s="83" t="s">
        <v>50</v>
      </c>
      <c r="D140" s="86">
        <v>8.2</v>
      </c>
      <c r="E140" s="182">
        <v>2</v>
      </c>
      <c r="F140" s="80">
        <f>E140*D140</f>
        <v>16.4</v>
      </c>
      <c r="G140" s="353">
        <f t="shared" si="18"/>
        <v>2</v>
      </c>
      <c r="H140" s="80">
        <f>F140</f>
        <v>16.4</v>
      </c>
      <c r="I140" s="84"/>
      <c r="J140" s="80"/>
      <c r="K140" s="112"/>
      <c r="L140" s="44"/>
      <c r="M140" s="54">
        <v>2</v>
      </c>
      <c r="N140" s="44">
        <f>F140</f>
        <v>16.4</v>
      </c>
      <c r="O140" s="54"/>
      <c r="P140" s="44"/>
      <c r="Q140" s="112"/>
      <c r="R140" s="112"/>
      <c r="S140" s="66"/>
      <c r="T140" s="66"/>
      <c r="U140" s="54"/>
      <c r="V140" s="66"/>
      <c r="W140" s="66"/>
    </row>
    <row r="141" spans="1:23" s="144" customFormat="1" ht="15.75">
      <c r="A141" s="116" t="s">
        <v>55</v>
      </c>
      <c r="B141" s="85" t="s">
        <v>93</v>
      </c>
      <c r="C141" s="83" t="s">
        <v>50</v>
      </c>
      <c r="D141" s="86">
        <v>20</v>
      </c>
      <c r="E141" s="183">
        <v>4</v>
      </c>
      <c r="F141" s="80">
        <f aca="true" t="shared" si="19" ref="F141:F147">E141*D141</f>
        <v>80</v>
      </c>
      <c r="G141" s="353">
        <f t="shared" si="18"/>
        <v>4</v>
      </c>
      <c r="H141" s="80">
        <f>F141</f>
        <v>80</v>
      </c>
      <c r="I141" s="84"/>
      <c r="J141" s="80"/>
      <c r="K141" s="112"/>
      <c r="L141" s="44"/>
      <c r="M141" s="54">
        <v>4</v>
      </c>
      <c r="N141" s="44">
        <f>F141</f>
        <v>80</v>
      </c>
      <c r="O141" s="54"/>
      <c r="P141" s="44"/>
      <c r="Q141" s="112"/>
      <c r="R141" s="112"/>
      <c r="S141" s="66"/>
      <c r="T141" s="66"/>
      <c r="U141" s="54"/>
      <c r="V141" s="66"/>
      <c r="W141" s="66"/>
    </row>
    <row r="142" spans="1:23" s="144" customFormat="1" ht="15.75">
      <c r="A142" s="116" t="s">
        <v>316</v>
      </c>
      <c r="B142" s="85" t="s">
        <v>94</v>
      </c>
      <c r="C142" s="83" t="s">
        <v>50</v>
      </c>
      <c r="D142" s="86">
        <v>8</v>
      </c>
      <c r="E142" s="182">
        <v>1</v>
      </c>
      <c r="F142" s="80">
        <f t="shared" si="19"/>
        <v>8</v>
      </c>
      <c r="G142" s="353">
        <f t="shared" si="18"/>
        <v>1</v>
      </c>
      <c r="H142" s="80">
        <f>F142</f>
        <v>8</v>
      </c>
      <c r="I142" s="84"/>
      <c r="J142" s="80"/>
      <c r="K142" s="112"/>
      <c r="L142" s="44"/>
      <c r="M142" s="54">
        <v>1</v>
      </c>
      <c r="N142" s="44">
        <f>F142</f>
        <v>8</v>
      </c>
      <c r="O142" s="54"/>
      <c r="P142" s="44"/>
      <c r="Q142" s="112"/>
      <c r="R142" s="112"/>
      <c r="S142" s="66"/>
      <c r="T142" s="66"/>
      <c r="U142" s="54"/>
      <c r="V142" s="66"/>
      <c r="W142" s="66"/>
    </row>
    <row r="143" spans="1:23" s="144" customFormat="1" ht="15.75">
      <c r="A143" s="118" t="s">
        <v>317</v>
      </c>
      <c r="B143" s="102" t="s">
        <v>95</v>
      </c>
      <c r="C143" s="83"/>
      <c r="D143" s="123"/>
      <c r="E143" s="184"/>
      <c r="F143" s="81">
        <f>F145</f>
        <v>346</v>
      </c>
      <c r="G143" s="353">
        <f t="shared" si="18"/>
        <v>0</v>
      </c>
      <c r="H143" s="81">
        <f>H145</f>
        <v>346</v>
      </c>
      <c r="I143" s="84"/>
      <c r="J143" s="80"/>
      <c r="K143" s="54"/>
      <c r="L143" s="81">
        <f>L145</f>
        <v>346</v>
      </c>
      <c r="M143" s="112"/>
      <c r="N143" s="81">
        <f>N145</f>
        <v>0</v>
      </c>
      <c r="O143" s="54"/>
      <c r="P143" s="81">
        <f>P145</f>
        <v>0</v>
      </c>
      <c r="Q143" s="112"/>
      <c r="R143" s="81">
        <f>R145</f>
        <v>0</v>
      </c>
      <c r="S143" s="66"/>
      <c r="T143" s="66"/>
      <c r="U143" s="368"/>
      <c r="V143" s="66"/>
      <c r="W143" s="66"/>
    </row>
    <row r="144" spans="1:23" s="144" customFormat="1" ht="15.75">
      <c r="A144" s="438" t="s">
        <v>354</v>
      </c>
      <c r="B144" s="439"/>
      <c r="C144" s="440"/>
      <c r="D144" s="294"/>
      <c r="E144" s="295"/>
      <c r="F144" s="296">
        <f>F145</f>
        <v>346</v>
      </c>
      <c r="G144" s="354"/>
      <c r="H144" s="296">
        <f>H145</f>
        <v>346</v>
      </c>
      <c r="I144" s="288"/>
      <c r="J144" s="287"/>
      <c r="K144" s="236"/>
      <c r="L144" s="296">
        <f>L145</f>
        <v>346</v>
      </c>
      <c r="M144" s="289"/>
      <c r="N144" s="296">
        <f>N145</f>
        <v>0</v>
      </c>
      <c r="O144" s="236"/>
      <c r="P144" s="296">
        <f>P145</f>
        <v>0</v>
      </c>
      <c r="Q144" s="289"/>
      <c r="R144" s="296">
        <f>R145</f>
        <v>0</v>
      </c>
      <c r="S144" s="290"/>
      <c r="T144" s="290"/>
      <c r="U144" s="367"/>
      <c r="V144" s="290"/>
      <c r="W144" s="66"/>
    </row>
    <row r="145" spans="1:23" s="144" customFormat="1" ht="15.75">
      <c r="A145" s="116" t="s">
        <v>54</v>
      </c>
      <c r="B145" s="88" t="s">
        <v>53</v>
      </c>
      <c r="C145" s="87" t="s">
        <v>50</v>
      </c>
      <c r="D145" s="123">
        <v>346</v>
      </c>
      <c r="E145" s="184">
        <v>1</v>
      </c>
      <c r="F145" s="89">
        <f>E145*D145</f>
        <v>346</v>
      </c>
      <c r="G145" s="353">
        <f t="shared" si="18"/>
        <v>1</v>
      </c>
      <c r="H145" s="90">
        <f>F145</f>
        <v>346</v>
      </c>
      <c r="I145" s="84"/>
      <c r="J145" s="80"/>
      <c r="K145" s="54">
        <v>1</v>
      </c>
      <c r="L145" s="44">
        <f>F145</f>
        <v>346</v>
      </c>
      <c r="M145" s="112"/>
      <c r="N145" s="112"/>
      <c r="O145" s="54"/>
      <c r="P145" s="54"/>
      <c r="Q145" s="112"/>
      <c r="R145" s="112"/>
      <c r="S145" s="66"/>
      <c r="T145" s="66"/>
      <c r="U145" s="368"/>
      <c r="V145" s="66"/>
      <c r="W145" s="66"/>
    </row>
    <row r="146" spans="1:23" s="144" customFormat="1" ht="31.5">
      <c r="A146" s="118" t="s">
        <v>318</v>
      </c>
      <c r="B146" s="103" t="s">
        <v>96</v>
      </c>
      <c r="C146" s="87"/>
      <c r="D146" s="123"/>
      <c r="E146" s="184"/>
      <c r="F146" s="120">
        <f>F147</f>
        <v>800</v>
      </c>
      <c r="G146" s="353">
        <f t="shared" si="18"/>
        <v>0</v>
      </c>
      <c r="H146" s="196">
        <f>H147</f>
        <v>800</v>
      </c>
      <c r="I146" s="84"/>
      <c r="J146" s="80"/>
      <c r="K146" s="54"/>
      <c r="L146" s="196">
        <f>L147</f>
        <v>0</v>
      </c>
      <c r="M146" s="112"/>
      <c r="N146" s="196">
        <f>N147</f>
        <v>0</v>
      </c>
      <c r="O146" s="54"/>
      <c r="P146" s="196">
        <f>P147</f>
        <v>800</v>
      </c>
      <c r="Q146" s="112"/>
      <c r="R146" s="196">
        <f>R147</f>
        <v>0</v>
      </c>
      <c r="S146" s="66"/>
      <c r="T146" s="66"/>
      <c r="U146" s="368"/>
      <c r="V146" s="66"/>
      <c r="W146" s="66"/>
    </row>
    <row r="147" spans="1:23" s="144" customFormat="1" ht="31.5">
      <c r="A147" s="116" t="s">
        <v>319</v>
      </c>
      <c r="B147" s="91" t="s">
        <v>105</v>
      </c>
      <c r="C147" s="87" t="s">
        <v>50</v>
      </c>
      <c r="D147" s="169">
        <v>800</v>
      </c>
      <c r="E147" s="185">
        <v>1</v>
      </c>
      <c r="F147" s="170">
        <f t="shared" si="19"/>
        <v>800</v>
      </c>
      <c r="G147" s="179">
        <f t="shared" si="18"/>
        <v>1</v>
      </c>
      <c r="H147" s="197">
        <f>F147</f>
        <v>800</v>
      </c>
      <c r="I147" s="84"/>
      <c r="J147" s="80"/>
      <c r="K147" s="54"/>
      <c r="L147" s="44"/>
      <c r="M147" s="112"/>
      <c r="N147" s="112"/>
      <c r="O147" s="54">
        <v>1</v>
      </c>
      <c r="P147" s="44">
        <f>F147</f>
        <v>800</v>
      </c>
      <c r="Q147" s="112"/>
      <c r="R147" s="112"/>
      <c r="S147" s="66"/>
      <c r="T147" s="66"/>
      <c r="U147" s="368"/>
      <c r="V147" s="66"/>
      <c r="W147" s="66"/>
    </row>
    <row r="148" spans="1:23" s="144" customFormat="1" ht="15.75">
      <c r="A148" s="118" t="s">
        <v>320</v>
      </c>
      <c r="B148" s="125" t="s">
        <v>114</v>
      </c>
      <c r="C148" s="77"/>
      <c r="D148" s="86"/>
      <c r="E148" s="182"/>
      <c r="F148" s="126">
        <f>F150+F151</f>
        <v>120</v>
      </c>
      <c r="G148" s="353">
        <f t="shared" si="18"/>
        <v>0</v>
      </c>
      <c r="H148" s="81">
        <f>H150+H151</f>
        <v>50</v>
      </c>
      <c r="I148" s="84"/>
      <c r="J148" s="81">
        <f>J150+J151</f>
        <v>70</v>
      </c>
      <c r="K148" s="54"/>
      <c r="L148" s="81">
        <f>L150+L151</f>
        <v>120</v>
      </c>
      <c r="M148" s="112"/>
      <c r="N148" s="81">
        <f>N150+N151</f>
        <v>0</v>
      </c>
      <c r="O148" s="54"/>
      <c r="P148" s="81">
        <f>P150+P151</f>
        <v>0</v>
      </c>
      <c r="Q148" s="112"/>
      <c r="R148" s="81">
        <f>R150+R151</f>
        <v>0</v>
      </c>
      <c r="S148" s="66"/>
      <c r="T148" s="66"/>
      <c r="U148" s="368"/>
      <c r="V148" s="66"/>
      <c r="W148" s="66"/>
    </row>
    <row r="149" spans="1:23" s="144" customFormat="1" ht="15.75">
      <c r="A149" s="412" t="s">
        <v>354</v>
      </c>
      <c r="B149" s="413"/>
      <c r="C149" s="414"/>
      <c r="D149" s="291"/>
      <c r="E149" s="298"/>
      <c r="F149" s="299">
        <f>F150+F151</f>
        <v>120</v>
      </c>
      <c r="G149" s="354"/>
      <c r="H149" s="299">
        <f>H150+H151</f>
        <v>50</v>
      </c>
      <c r="I149" s="288"/>
      <c r="J149" s="299">
        <f>J150+J151</f>
        <v>70</v>
      </c>
      <c r="K149" s="236"/>
      <c r="L149" s="299">
        <f>L150+L151</f>
        <v>120</v>
      </c>
      <c r="M149" s="289"/>
      <c r="N149" s="299">
        <f>N150+N151</f>
        <v>0</v>
      </c>
      <c r="O149" s="236"/>
      <c r="P149" s="299">
        <f>P150+P151</f>
        <v>0</v>
      </c>
      <c r="Q149" s="289"/>
      <c r="R149" s="299">
        <f>R150+R151</f>
        <v>0</v>
      </c>
      <c r="S149" s="290"/>
      <c r="T149" s="290"/>
      <c r="U149" s="367"/>
      <c r="V149" s="290"/>
      <c r="W149" s="66"/>
    </row>
    <row r="150" spans="1:23" s="144" customFormat="1" ht="15.75">
      <c r="A150" s="116" t="s">
        <v>321</v>
      </c>
      <c r="B150" s="124" t="s">
        <v>115</v>
      </c>
      <c r="C150" s="87" t="s">
        <v>50</v>
      </c>
      <c r="D150" s="86">
        <v>25</v>
      </c>
      <c r="E150" s="182">
        <v>2</v>
      </c>
      <c r="F150" s="79">
        <f>E150*D150</f>
        <v>50</v>
      </c>
      <c r="G150" s="353">
        <f t="shared" si="18"/>
        <v>2</v>
      </c>
      <c r="H150" s="80">
        <f>F150</f>
        <v>50</v>
      </c>
      <c r="I150" s="84"/>
      <c r="J150" s="80"/>
      <c r="K150" s="54">
        <v>2</v>
      </c>
      <c r="L150" s="44">
        <f>F150</f>
        <v>50</v>
      </c>
      <c r="M150" s="112"/>
      <c r="N150" s="112"/>
      <c r="O150" s="54"/>
      <c r="P150" s="54"/>
      <c r="Q150" s="112"/>
      <c r="R150" s="112"/>
      <c r="S150" s="66"/>
      <c r="T150" s="66"/>
      <c r="U150" s="368"/>
      <c r="V150" s="66"/>
      <c r="W150" s="66"/>
    </row>
    <row r="151" spans="1:23" s="144" customFormat="1" ht="15.75">
      <c r="A151" s="116" t="s">
        <v>322</v>
      </c>
      <c r="B151" s="124" t="s">
        <v>116</v>
      </c>
      <c r="C151" s="87" t="s">
        <v>50</v>
      </c>
      <c r="D151" s="86">
        <v>70</v>
      </c>
      <c r="E151" s="182">
        <v>1</v>
      </c>
      <c r="F151" s="79">
        <f>E151*D151</f>
        <v>70</v>
      </c>
      <c r="G151" s="353"/>
      <c r="H151" s="80"/>
      <c r="I151" s="80">
        <v>1</v>
      </c>
      <c r="J151" s="80">
        <f>F151</f>
        <v>70</v>
      </c>
      <c r="K151" s="54">
        <v>1</v>
      </c>
      <c r="L151" s="44">
        <f>F151</f>
        <v>70</v>
      </c>
      <c r="M151" s="112"/>
      <c r="N151" s="112"/>
      <c r="O151" s="54"/>
      <c r="P151" s="54"/>
      <c r="Q151" s="112"/>
      <c r="R151" s="112"/>
      <c r="S151" s="66"/>
      <c r="T151" s="66"/>
      <c r="U151" s="368"/>
      <c r="V151" s="66"/>
      <c r="W151" s="66"/>
    </row>
    <row r="152" spans="1:23" s="144" customFormat="1" ht="15.75">
      <c r="A152" s="300" t="s">
        <v>323</v>
      </c>
      <c r="B152" s="297" t="s">
        <v>173</v>
      </c>
      <c r="C152" s="301" t="s">
        <v>50</v>
      </c>
      <c r="D152" s="86">
        <v>380</v>
      </c>
      <c r="E152" s="182">
        <v>1</v>
      </c>
      <c r="F152" s="126">
        <f>F153</f>
        <v>380</v>
      </c>
      <c r="G152" s="353">
        <f t="shared" si="18"/>
        <v>1</v>
      </c>
      <c r="H152" s="126">
        <f>H153</f>
        <v>380</v>
      </c>
      <c r="I152" s="84"/>
      <c r="J152" s="80"/>
      <c r="K152" s="54">
        <v>1</v>
      </c>
      <c r="L152" s="126">
        <f>L153</f>
        <v>0</v>
      </c>
      <c r="M152" s="112"/>
      <c r="N152" s="126">
        <f>N153</f>
        <v>0</v>
      </c>
      <c r="O152" s="54"/>
      <c r="P152" s="126">
        <f>P153</f>
        <v>0</v>
      </c>
      <c r="Q152" s="112"/>
      <c r="R152" s="126">
        <f>R153</f>
        <v>380</v>
      </c>
      <c r="S152" s="66"/>
      <c r="T152" s="66"/>
      <c r="U152" s="368"/>
      <c r="V152" s="66"/>
      <c r="W152" s="66"/>
    </row>
    <row r="153" spans="1:23" s="144" customFormat="1" ht="15.75">
      <c r="A153" s="453" t="s">
        <v>354</v>
      </c>
      <c r="B153" s="454"/>
      <c r="C153" s="455"/>
      <c r="D153" s="291"/>
      <c r="E153" s="298"/>
      <c r="F153" s="299">
        <f>F154</f>
        <v>380</v>
      </c>
      <c r="G153" s="287"/>
      <c r="H153" s="299">
        <f>H154</f>
        <v>380</v>
      </c>
      <c r="I153" s="288"/>
      <c r="J153" s="287"/>
      <c r="K153" s="236"/>
      <c r="L153" s="299">
        <f>L154</f>
        <v>0</v>
      </c>
      <c r="M153" s="289"/>
      <c r="N153" s="299">
        <f>N154</f>
        <v>0</v>
      </c>
      <c r="O153" s="236"/>
      <c r="P153" s="299">
        <f>P154</f>
        <v>0</v>
      </c>
      <c r="Q153" s="289"/>
      <c r="R153" s="299">
        <f>R154</f>
        <v>380</v>
      </c>
      <c r="S153" s="290"/>
      <c r="T153" s="290"/>
      <c r="U153" s="367"/>
      <c r="V153" s="290"/>
      <c r="W153" s="66"/>
    </row>
    <row r="154" spans="1:23" s="144" customFormat="1" ht="15.75">
      <c r="A154" s="302"/>
      <c r="B154" s="303" t="s">
        <v>173</v>
      </c>
      <c r="C154" s="140"/>
      <c r="D154" s="86">
        <v>380</v>
      </c>
      <c r="E154" s="182">
        <v>1</v>
      </c>
      <c r="F154" s="79">
        <f>E154*D154</f>
        <v>380</v>
      </c>
      <c r="G154" s="80"/>
      <c r="H154" s="80">
        <f>F154</f>
        <v>380</v>
      </c>
      <c r="I154" s="84"/>
      <c r="J154" s="80"/>
      <c r="K154" s="54"/>
      <c r="L154" s="44"/>
      <c r="M154" s="112"/>
      <c r="N154" s="44"/>
      <c r="O154" s="54"/>
      <c r="P154" s="54"/>
      <c r="Q154" s="112"/>
      <c r="R154" s="44">
        <f>F154</f>
        <v>380</v>
      </c>
      <c r="S154" s="66"/>
      <c r="T154" s="66"/>
      <c r="U154" s="368"/>
      <c r="V154" s="66"/>
      <c r="W154" s="66"/>
    </row>
    <row r="155" spans="1:41" s="216" customFormat="1" ht="15.75">
      <c r="A155" s="400" t="s">
        <v>324</v>
      </c>
      <c r="B155" s="400"/>
      <c r="C155" s="400"/>
      <c r="D155" s="400"/>
      <c r="E155" s="400"/>
      <c r="F155" s="68">
        <f>F152+F148+F146+F143+F138+F132</f>
        <v>1839.89</v>
      </c>
      <c r="G155" s="115"/>
      <c r="H155" s="68">
        <f>H152+H148+H146+H143+H138+H132</f>
        <v>1769.89</v>
      </c>
      <c r="I155" s="68"/>
      <c r="J155" s="68">
        <f>J151</f>
        <v>70</v>
      </c>
      <c r="K155" s="69"/>
      <c r="L155" s="68">
        <f>L152+L148+L146+L143+L138+L132</f>
        <v>531.83</v>
      </c>
      <c r="M155" s="69"/>
      <c r="N155" s="68">
        <f>N152+N148+N146+N143+N138+N132</f>
        <v>128.06</v>
      </c>
      <c r="O155" s="69"/>
      <c r="P155" s="68">
        <f>P152+P148+P146+P143+P138+P132</f>
        <v>800</v>
      </c>
      <c r="Q155" s="69"/>
      <c r="R155" s="68">
        <f>R152+R148+R146+R143+R138+R132</f>
        <v>380</v>
      </c>
      <c r="S155" s="70"/>
      <c r="T155" s="70"/>
      <c r="U155" s="356"/>
      <c r="V155" s="70"/>
      <c r="W155" s="130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</row>
    <row r="156" spans="1:41" s="216" customFormat="1" ht="15.75">
      <c r="A156" s="304" t="s">
        <v>354</v>
      </c>
      <c r="B156" s="305"/>
      <c r="C156" s="305"/>
      <c r="D156" s="305"/>
      <c r="E156" s="305"/>
      <c r="F156" s="282">
        <f>F153+F144+F139+F135+F149</f>
        <v>1016.23</v>
      </c>
      <c r="G156" s="306"/>
      <c r="H156" s="279"/>
      <c r="I156" s="279"/>
      <c r="J156" s="279"/>
      <c r="K156" s="280"/>
      <c r="L156" s="279"/>
      <c r="M156" s="280"/>
      <c r="N156" s="279"/>
      <c r="O156" s="280"/>
      <c r="P156" s="279"/>
      <c r="Q156" s="280"/>
      <c r="R156" s="279"/>
      <c r="S156" s="281"/>
      <c r="T156" s="281"/>
      <c r="U156" s="375"/>
      <c r="V156" s="281"/>
      <c r="W156" s="276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</row>
    <row r="157" spans="1:41" s="52" customFormat="1" ht="15.75">
      <c r="A157" s="380" t="s">
        <v>325</v>
      </c>
      <c r="B157" s="381"/>
      <c r="C157" s="381"/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1"/>
      <c r="S157" s="381"/>
      <c r="T157" s="381"/>
      <c r="U157" s="381"/>
      <c r="V157" s="381"/>
      <c r="W157" s="382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</row>
    <row r="158" spans="1:41" s="52" customFormat="1" ht="15.75">
      <c r="A158" s="65"/>
      <c r="B158" s="65" t="s">
        <v>370</v>
      </c>
      <c r="C158" s="65"/>
      <c r="D158" s="65"/>
      <c r="E158" s="65"/>
      <c r="F158" s="121">
        <f>F159+F160</f>
        <v>48</v>
      </c>
      <c r="G158" s="65"/>
      <c r="H158" s="121">
        <f>H159+H160</f>
        <v>48</v>
      </c>
      <c r="I158" s="65"/>
      <c r="J158" s="65"/>
      <c r="K158" s="65"/>
      <c r="L158" s="121">
        <f>L159+L160</f>
        <v>12</v>
      </c>
      <c r="M158" s="65"/>
      <c r="N158" s="121">
        <f>N159+N160</f>
        <v>0</v>
      </c>
      <c r="O158" s="65"/>
      <c r="P158" s="121">
        <f>P159+P160</f>
        <v>36</v>
      </c>
      <c r="Q158" s="65"/>
      <c r="R158" s="121">
        <f>R159+R160</f>
        <v>0</v>
      </c>
      <c r="S158" s="65"/>
      <c r="T158" s="65"/>
      <c r="U158" s="49"/>
      <c r="V158" s="65"/>
      <c r="W158" s="6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</row>
    <row r="159" spans="1:23" s="144" customFormat="1" ht="15.75">
      <c r="A159" s="139" t="s">
        <v>326</v>
      </c>
      <c r="B159" s="127" t="s">
        <v>88</v>
      </c>
      <c r="C159" s="92" t="s">
        <v>50</v>
      </c>
      <c r="D159" s="128">
        <v>3</v>
      </c>
      <c r="E159" s="186">
        <v>4</v>
      </c>
      <c r="F159" s="128">
        <f>E159*D159</f>
        <v>12</v>
      </c>
      <c r="G159" s="351">
        <f>E159</f>
        <v>4</v>
      </c>
      <c r="H159" s="128">
        <f>F159</f>
        <v>12</v>
      </c>
      <c r="I159" s="75"/>
      <c r="J159" s="75"/>
      <c r="K159" s="187">
        <v>4</v>
      </c>
      <c r="L159" s="93">
        <f>F159</f>
        <v>12</v>
      </c>
      <c r="M159" s="129"/>
      <c r="N159" s="157"/>
      <c r="O159" s="187"/>
      <c r="P159" s="93"/>
      <c r="Q159" s="129"/>
      <c r="R159" s="157"/>
      <c r="S159" s="130"/>
      <c r="T159" s="130"/>
      <c r="U159" s="374"/>
      <c r="V159" s="131"/>
      <c r="W159" s="76"/>
    </row>
    <row r="160" spans="1:23" s="144" customFormat="1" ht="15.75">
      <c r="A160" s="415" t="s">
        <v>354</v>
      </c>
      <c r="B160" s="416"/>
      <c r="C160" s="417"/>
      <c r="D160" s="307"/>
      <c r="E160" s="308"/>
      <c r="F160" s="307">
        <f>F161</f>
        <v>36</v>
      </c>
      <c r="G160" s="352"/>
      <c r="H160" s="307">
        <f>H161</f>
        <v>36</v>
      </c>
      <c r="I160" s="309"/>
      <c r="J160" s="309"/>
      <c r="K160" s="310"/>
      <c r="L160" s="307">
        <f>L161</f>
        <v>0</v>
      </c>
      <c r="M160" s="310"/>
      <c r="N160" s="307">
        <f>N161</f>
        <v>0</v>
      </c>
      <c r="O160" s="311"/>
      <c r="P160" s="307">
        <f>P161</f>
        <v>36</v>
      </c>
      <c r="Q160" s="310"/>
      <c r="R160" s="307">
        <f>R161</f>
        <v>0</v>
      </c>
      <c r="S160" s="312"/>
      <c r="T160" s="312"/>
      <c r="U160" s="376"/>
      <c r="V160" s="313"/>
      <c r="W160" s="76"/>
    </row>
    <row r="161" spans="1:23" s="144" customFormat="1" ht="15.75">
      <c r="A161" s="314"/>
      <c r="B161" s="314" t="s">
        <v>88</v>
      </c>
      <c r="C161" s="315" t="s">
        <v>50</v>
      </c>
      <c r="D161" s="128">
        <v>3</v>
      </c>
      <c r="E161" s="186">
        <v>12</v>
      </c>
      <c r="F161" s="128">
        <f>E161*D161</f>
        <v>36</v>
      </c>
      <c r="G161" s="351">
        <f>E161</f>
        <v>12</v>
      </c>
      <c r="H161" s="128">
        <f>F161</f>
        <v>36</v>
      </c>
      <c r="I161" s="75"/>
      <c r="J161" s="75"/>
      <c r="K161" s="129"/>
      <c r="L161" s="157"/>
      <c r="M161" s="129"/>
      <c r="N161" s="157"/>
      <c r="O161" s="187">
        <f>E161</f>
        <v>12</v>
      </c>
      <c r="P161" s="93">
        <f>F161</f>
        <v>36</v>
      </c>
      <c r="Q161" s="129"/>
      <c r="R161" s="157"/>
      <c r="S161" s="130"/>
      <c r="T161" s="130"/>
      <c r="U161" s="365">
        <v>103</v>
      </c>
      <c r="V161" s="131"/>
      <c r="W161" s="76"/>
    </row>
    <row r="162" spans="1:41" s="216" customFormat="1" ht="15.75">
      <c r="A162" s="400" t="s">
        <v>327</v>
      </c>
      <c r="B162" s="400"/>
      <c r="C162" s="400"/>
      <c r="D162" s="400"/>
      <c r="E162" s="400"/>
      <c r="F162" s="68">
        <f>F158</f>
        <v>48</v>
      </c>
      <c r="G162" s="68"/>
      <c r="H162" s="68">
        <f>H158</f>
        <v>48</v>
      </c>
      <c r="I162" s="68"/>
      <c r="J162" s="68"/>
      <c r="K162" s="69"/>
      <c r="L162" s="68">
        <f>L158</f>
        <v>12</v>
      </c>
      <c r="M162" s="69"/>
      <c r="N162" s="68">
        <f>N158</f>
        <v>0</v>
      </c>
      <c r="O162" s="69"/>
      <c r="P162" s="68">
        <f>P158</f>
        <v>36</v>
      </c>
      <c r="Q162" s="69"/>
      <c r="R162" s="68">
        <f>R158</f>
        <v>0</v>
      </c>
      <c r="S162" s="70"/>
      <c r="T162" s="70"/>
      <c r="U162" s="356"/>
      <c r="V162" s="70"/>
      <c r="W162" s="130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</row>
    <row r="163" spans="1:41" s="216" customFormat="1" ht="15.75">
      <c r="A163" s="304" t="s">
        <v>354</v>
      </c>
      <c r="B163" s="305"/>
      <c r="C163" s="305"/>
      <c r="D163" s="305"/>
      <c r="E163" s="305"/>
      <c r="F163" s="282">
        <f>F160</f>
        <v>36</v>
      </c>
      <c r="G163" s="279"/>
      <c r="H163" s="279"/>
      <c r="I163" s="279"/>
      <c r="J163" s="279"/>
      <c r="K163" s="280"/>
      <c r="L163" s="279"/>
      <c r="M163" s="280"/>
      <c r="N163" s="279"/>
      <c r="O163" s="280"/>
      <c r="P163" s="279"/>
      <c r="Q163" s="280"/>
      <c r="R163" s="279"/>
      <c r="S163" s="281"/>
      <c r="T163" s="281"/>
      <c r="U163" s="375"/>
      <c r="V163" s="281"/>
      <c r="W163" s="276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</row>
    <row r="164" spans="1:41" s="52" customFormat="1" ht="15.75">
      <c r="A164" s="380" t="s">
        <v>328</v>
      </c>
      <c r="B164" s="381"/>
      <c r="C164" s="381"/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1"/>
      <c r="S164" s="381"/>
      <c r="T164" s="381"/>
      <c r="U164" s="37" t="s">
        <v>391</v>
      </c>
      <c r="V164" s="381"/>
      <c r="W164" s="382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</row>
    <row r="165" spans="1:41" s="52" customFormat="1" ht="15.75">
      <c r="A165" s="53" t="s">
        <v>329</v>
      </c>
      <c r="B165" s="114" t="s">
        <v>177</v>
      </c>
      <c r="C165" s="37" t="s">
        <v>50</v>
      </c>
      <c r="D165" s="95">
        <v>1125</v>
      </c>
      <c r="E165" s="37">
        <v>1</v>
      </c>
      <c r="F165" s="95">
        <f>E165*D165</f>
        <v>1125</v>
      </c>
      <c r="G165" s="50">
        <f>E165</f>
        <v>1</v>
      </c>
      <c r="H165" s="34">
        <f>F165</f>
        <v>1125</v>
      </c>
      <c r="I165" s="65"/>
      <c r="J165" s="65"/>
      <c r="K165" s="65"/>
      <c r="L165" s="65"/>
      <c r="M165" s="65"/>
      <c r="N165" s="34">
        <f>F165</f>
        <v>1125</v>
      </c>
      <c r="O165" s="65"/>
      <c r="P165" s="65"/>
      <c r="Q165" s="65"/>
      <c r="R165" s="65"/>
      <c r="S165" s="65"/>
      <c r="T165" s="65"/>
      <c r="U165" s="49"/>
      <c r="V165" s="65"/>
      <c r="W165" s="6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</row>
    <row r="166" spans="1:41" s="52" customFormat="1" ht="15.75">
      <c r="A166" s="53" t="s">
        <v>330</v>
      </c>
      <c r="B166" s="114" t="s">
        <v>178</v>
      </c>
      <c r="C166" s="65" t="s">
        <v>50</v>
      </c>
      <c r="D166" s="34">
        <v>47.5</v>
      </c>
      <c r="E166" s="49">
        <v>9</v>
      </c>
      <c r="F166" s="34">
        <f>E166*D166</f>
        <v>427.5</v>
      </c>
      <c r="G166" s="50">
        <f>E166</f>
        <v>9</v>
      </c>
      <c r="H166" s="34">
        <f>F166</f>
        <v>427.5</v>
      </c>
      <c r="I166" s="65"/>
      <c r="J166" s="65"/>
      <c r="K166" s="49">
        <v>9</v>
      </c>
      <c r="L166" s="95">
        <f>F166</f>
        <v>427.5</v>
      </c>
      <c r="M166" s="65"/>
      <c r="N166" s="34"/>
      <c r="O166" s="65"/>
      <c r="P166" s="65"/>
      <c r="Q166" s="65"/>
      <c r="R166" s="65"/>
      <c r="S166" s="65"/>
      <c r="T166" s="65"/>
      <c r="U166" s="49"/>
      <c r="V166" s="65"/>
      <c r="W166" s="6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</row>
    <row r="167" spans="1:41" s="52" customFormat="1" ht="15.75">
      <c r="A167" s="304" t="s">
        <v>354</v>
      </c>
      <c r="B167" s="290"/>
      <c r="C167" s="290"/>
      <c r="D167" s="290"/>
      <c r="E167" s="290"/>
      <c r="F167" s="246">
        <f>F168+F169+F170+F171+F172+F173+F174+F175+F176</f>
        <v>12592.8988</v>
      </c>
      <c r="G167" s="349"/>
      <c r="H167" s="246">
        <f>H168+H169+H170+H171+H172+H173+H174+H175+H176</f>
        <v>12592.8988</v>
      </c>
      <c r="I167" s="290"/>
      <c r="J167" s="290"/>
      <c r="K167" s="290"/>
      <c r="L167" s="246">
        <f>L168+L169+L170+L171+L172+L173+L174+L175+L176</f>
        <v>649.716</v>
      </c>
      <c r="M167" s="290"/>
      <c r="N167" s="246">
        <f>N168+N169+N170+N171+N172+N173+N174+N175+N176</f>
        <v>4866.67</v>
      </c>
      <c r="O167" s="290"/>
      <c r="P167" s="246">
        <f>P168+P169+P170+P171+P172+P173+P174+P175+P176</f>
        <v>4083.33</v>
      </c>
      <c r="Q167" s="290"/>
      <c r="R167" s="246">
        <f>R168+R169+R170+R171+R172+R173+R174+R175+R176</f>
        <v>2993.1828</v>
      </c>
      <c r="S167" s="290"/>
      <c r="T167" s="290"/>
      <c r="U167" s="236"/>
      <c r="V167" s="290"/>
      <c r="W167" s="6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</row>
    <row r="168" spans="1:41" s="52" customFormat="1" ht="15.75">
      <c r="A168" s="53" t="s">
        <v>331</v>
      </c>
      <c r="B168" s="138" t="s">
        <v>117</v>
      </c>
      <c r="C168" s="46" t="s">
        <v>50</v>
      </c>
      <c r="D168" s="44">
        <v>2950</v>
      </c>
      <c r="E168" s="48">
        <v>1</v>
      </c>
      <c r="F168" s="34">
        <f>E168*D168</f>
        <v>2950</v>
      </c>
      <c r="G168" s="350">
        <f>E168</f>
        <v>1</v>
      </c>
      <c r="H168" s="42">
        <f>F168</f>
        <v>2950</v>
      </c>
      <c r="I168" s="42"/>
      <c r="J168" s="42"/>
      <c r="K168" s="50"/>
      <c r="L168" s="34"/>
      <c r="M168" s="49">
        <v>1</v>
      </c>
      <c r="N168" s="34">
        <f>F168</f>
        <v>2950</v>
      </c>
      <c r="O168" s="49"/>
      <c r="P168" s="34"/>
      <c r="Q168" s="49"/>
      <c r="R168" s="49"/>
      <c r="S168" s="32"/>
      <c r="T168" s="32"/>
      <c r="U168" s="369"/>
      <c r="V168" s="32"/>
      <c r="W168" s="76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</row>
    <row r="169" spans="1:41" s="52" customFormat="1" ht="15.75">
      <c r="A169" s="53" t="s">
        <v>332</v>
      </c>
      <c r="B169" s="100" t="s">
        <v>174</v>
      </c>
      <c r="C169" s="46" t="s">
        <v>50</v>
      </c>
      <c r="D169" s="44">
        <v>1916.67</v>
      </c>
      <c r="E169" s="48">
        <v>1</v>
      </c>
      <c r="F169" s="34">
        <f aca="true" t="shared" si="20" ref="F169:F176">E169*D169</f>
        <v>1916.67</v>
      </c>
      <c r="G169" s="350">
        <f aca="true" t="shared" si="21" ref="G169:G176">E169</f>
        <v>1</v>
      </c>
      <c r="H169" s="42">
        <f aca="true" t="shared" si="22" ref="H169:H175">F169</f>
        <v>1916.67</v>
      </c>
      <c r="I169" s="42"/>
      <c r="J169" s="42"/>
      <c r="K169" s="50"/>
      <c r="L169" s="34"/>
      <c r="M169" s="49">
        <v>1</v>
      </c>
      <c r="N169" s="34">
        <f>F169</f>
        <v>1916.67</v>
      </c>
      <c r="O169" s="49"/>
      <c r="P169" s="34"/>
      <c r="Q169" s="49"/>
      <c r="R169" s="49"/>
      <c r="S169" s="32"/>
      <c r="T169" s="32"/>
      <c r="U169" s="369"/>
      <c r="V169" s="32"/>
      <c r="W169" s="76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</row>
    <row r="170" spans="1:41" s="52" customFormat="1" ht="31.5">
      <c r="A170" s="53" t="s">
        <v>333</v>
      </c>
      <c r="B170" s="61" t="s">
        <v>175</v>
      </c>
      <c r="C170" s="46" t="s">
        <v>50</v>
      </c>
      <c r="D170" s="48">
        <v>4083.33</v>
      </c>
      <c r="E170" s="48">
        <v>1</v>
      </c>
      <c r="F170" s="34">
        <f t="shared" si="20"/>
        <v>4083.33</v>
      </c>
      <c r="G170" s="350">
        <f t="shared" si="21"/>
        <v>1</v>
      </c>
      <c r="H170" s="42">
        <f t="shared" si="22"/>
        <v>4083.33</v>
      </c>
      <c r="I170" s="42"/>
      <c r="J170" s="42"/>
      <c r="K170" s="50"/>
      <c r="L170" s="34"/>
      <c r="M170" s="49"/>
      <c r="N170" s="34"/>
      <c r="O170" s="49">
        <v>1</v>
      </c>
      <c r="P170" s="34">
        <f>F170</f>
        <v>4083.33</v>
      </c>
      <c r="Q170" s="49"/>
      <c r="R170" s="49"/>
      <c r="S170" s="32"/>
      <c r="T170" s="32"/>
      <c r="U170" s="369"/>
      <c r="V170" s="32"/>
      <c r="W170" s="76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</row>
    <row r="171" spans="1:41" s="52" customFormat="1" ht="15.75">
      <c r="A171" s="53" t="s">
        <v>334</v>
      </c>
      <c r="B171" s="94" t="s">
        <v>176</v>
      </c>
      <c r="C171" s="46" t="s">
        <v>50</v>
      </c>
      <c r="D171" s="48">
        <v>387.333</v>
      </c>
      <c r="E171" s="48">
        <v>1</v>
      </c>
      <c r="F171" s="34">
        <f t="shared" si="20"/>
        <v>387.333</v>
      </c>
      <c r="G171" s="350">
        <f t="shared" si="21"/>
        <v>1</v>
      </c>
      <c r="H171" s="42">
        <f t="shared" si="22"/>
        <v>387.333</v>
      </c>
      <c r="I171" s="42"/>
      <c r="J171" s="42"/>
      <c r="K171" s="50"/>
      <c r="L171" s="34"/>
      <c r="M171" s="49"/>
      <c r="N171" s="34"/>
      <c r="O171" s="49"/>
      <c r="P171" s="34"/>
      <c r="Q171" s="50">
        <f>G171</f>
        <v>1</v>
      </c>
      <c r="R171" s="34">
        <f>F171</f>
        <v>387.333</v>
      </c>
      <c r="S171" s="32"/>
      <c r="T171" s="32"/>
      <c r="U171" s="369"/>
      <c r="V171" s="32"/>
      <c r="W171" s="76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</row>
    <row r="172" spans="1:23" s="144" customFormat="1" ht="15.75">
      <c r="A172" s="53" t="s">
        <v>335</v>
      </c>
      <c r="B172" s="138" t="s">
        <v>177</v>
      </c>
      <c r="C172" s="46" t="s">
        <v>50</v>
      </c>
      <c r="D172" s="44">
        <v>1125</v>
      </c>
      <c r="E172" s="44">
        <v>1</v>
      </c>
      <c r="F172" s="44">
        <f t="shared" si="20"/>
        <v>1125</v>
      </c>
      <c r="G172" s="350">
        <f t="shared" si="21"/>
        <v>1</v>
      </c>
      <c r="H172" s="42">
        <f t="shared" si="22"/>
        <v>1125</v>
      </c>
      <c r="I172" s="42"/>
      <c r="J172" s="42"/>
      <c r="K172" s="177"/>
      <c r="L172" s="44"/>
      <c r="M172" s="54"/>
      <c r="N172" s="44"/>
      <c r="O172" s="54"/>
      <c r="P172" s="44"/>
      <c r="Q172" s="50">
        <f>G172</f>
        <v>1</v>
      </c>
      <c r="R172" s="44">
        <f>F172</f>
        <v>1125</v>
      </c>
      <c r="S172" s="76"/>
      <c r="T172" s="76"/>
      <c r="U172" s="368"/>
      <c r="V172" s="76"/>
      <c r="W172" s="76"/>
    </row>
    <row r="173" spans="1:23" s="144" customFormat="1" ht="31.5">
      <c r="A173" s="53" t="s">
        <v>336</v>
      </c>
      <c r="B173" s="45" t="s">
        <v>178</v>
      </c>
      <c r="C173" s="46" t="s">
        <v>50</v>
      </c>
      <c r="D173" s="44">
        <v>47.5</v>
      </c>
      <c r="E173" s="44">
        <v>3</v>
      </c>
      <c r="F173" s="44">
        <f t="shared" si="20"/>
        <v>142.5</v>
      </c>
      <c r="G173" s="350">
        <f t="shared" si="21"/>
        <v>3</v>
      </c>
      <c r="H173" s="42">
        <f t="shared" si="22"/>
        <v>142.5</v>
      </c>
      <c r="I173" s="42"/>
      <c r="J173" s="42"/>
      <c r="K173" s="177"/>
      <c r="L173" s="44"/>
      <c r="M173" s="54"/>
      <c r="N173" s="44"/>
      <c r="O173" s="54"/>
      <c r="P173" s="44"/>
      <c r="Q173" s="50">
        <f>G173</f>
        <v>3</v>
      </c>
      <c r="R173" s="44">
        <f>F173</f>
        <v>142.5</v>
      </c>
      <c r="S173" s="76"/>
      <c r="T173" s="76"/>
      <c r="U173" s="368"/>
      <c r="V173" s="76"/>
      <c r="W173" s="76"/>
    </row>
    <row r="174" spans="1:23" s="144" customFormat="1" ht="15.75">
      <c r="A174" s="53" t="s">
        <v>337</v>
      </c>
      <c r="B174" s="94" t="s">
        <v>205</v>
      </c>
      <c r="C174" s="46" t="s">
        <v>50</v>
      </c>
      <c r="D174" s="44">
        <v>446.1166</v>
      </c>
      <c r="E174" s="44">
        <v>2</v>
      </c>
      <c r="F174" s="34">
        <f t="shared" si="20"/>
        <v>892.2332</v>
      </c>
      <c r="G174" s="350">
        <f t="shared" si="21"/>
        <v>2</v>
      </c>
      <c r="H174" s="42">
        <f t="shared" si="22"/>
        <v>892.2332</v>
      </c>
      <c r="I174" s="42"/>
      <c r="J174" s="42"/>
      <c r="K174" s="177"/>
      <c r="L174" s="44"/>
      <c r="M174" s="54"/>
      <c r="N174" s="44"/>
      <c r="O174" s="54"/>
      <c r="P174" s="44"/>
      <c r="Q174" s="50">
        <f>G174</f>
        <v>2</v>
      </c>
      <c r="R174" s="44">
        <f>F174</f>
        <v>892.2332</v>
      </c>
      <c r="S174" s="76"/>
      <c r="T174" s="76"/>
      <c r="U174" s="368"/>
      <c r="V174" s="76"/>
      <c r="W174" s="76"/>
    </row>
    <row r="175" spans="1:23" s="144" customFormat="1" ht="15.75">
      <c r="A175" s="53" t="s">
        <v>371</v>
      </c>
      <c r="B175" s="94" t="s">
        <v>204</v>
      </c>
      <c r="C175" s="46" t="s">
        <v>50</v>
      </c>
      <c r="D175" s="44">
        <v>446.1166</v>
      </c>
      <c r="E175" s="44">
        <v>1</v>
      </c>
      <c r="F175" s="44">
        <f t="shared" si="20"/>
        <v>446.1166</v>
      </c>
      <c r="G175" s="350">
        <f t="shared" si="21"/>
        <v>1</v>
      </c>
      <c r="H175" s="42">
        <f t="shared" si="22"/>
        <v>446.1166</v>
      </c>
      <c r="I175" s="42"/>
      <c r="J175" s="42"/>
      <c r="K175" s="177"/>
      <c r="L175" s="44"/>
      <c r="M175" s="54"/>
      <c r="N175" s="44"/>
      <c r="O175" s="54"/>
      <c r="P175" s="44"/>
      <c r="Q175" s="50">
        <f>G175</f>
        <v>1</v>
      </c>
      <c r="R175" s="44">
        <f>F175</f>
        <v>446.1166</v>
      </c>
      <c r="S175" s="76"/>
      <c r="T175" s="76"/>
      <c r="U175" s="368"/>
      <c r="V175" s="76"/>
      <c r="W175" s="76"/>
    </row>
    <row r="176" spans="1:23" s="144" customFormat="1" ht="15.75">
      <c r="A176" s="53" t="s">
        <v>372</v>
      </c>
      <c r="B176" s="45" t="s">
        <v>179</v>
      </c>
      <c r="C176" s="46" t="s">
        <v>50</v>
      </c>
      <c r="D176" s="44">
        <v>649.716</v>
      </c>
      <c r="E176" s="44">
        <v>1</v>
      </c>
      <c r="F176" s="34">
        <f t="shared" si="20"/>
        <v>649.716</v>
      </c>
      <c r="G176" s="350">
        <f t="shared" si="21"/>
        <v>1</v>
      </c>
      <c r="H176" s="42">
        <f>F176</f>
        <v>649.716</v>
      </c>
      <c r="I176" s="42"/>
      <c r="J176" s="42"/>
      <c r="K176" s="177">
        <v>1</v>
      </c>
      <c r="L176" s="44">
        <f>F176</f>
        <v>649.716</v>
      </c>
      <c r="M176" s="54"/>
      <c r="N176" s="44"/>
      <c r="O176" s="54"/>
      <c r="P176" s="44"/>
      <c r="Q176" s="34"/>
      <c r="R176" s="44"/>
      <c r="S176" s="76"/>
      <c r="T176" s="76"/>
      <c r="U176" s="368"/>
      <c r="V176" s="76"/>
      <c r="W176" s="76"/>
    </row>
    <row r="177" spans="1:41" s="216" customFormat="1" ht="15.75">
      <c r="A177" s="400" t="s">
        <v>338</v>
      </c>
      <c r="B177" s="400"/>
      <c r="C177" s="400"/>
      <c r="D177" s="400"/>
      <c r="E177" s="400"/>
      <c r="F177" s="68">
        <f>F167+F166+F165</f>
        <v>14145.3988</v>
      </c>
      <c r="G177" s="68"/>
      <c r="H177" s="68">
        <f>H167+H166+H165</f>
        <v>14145.3988</v>
      </c>
      <c r="I177" s="68"/>
      <c r="J177" s="68"/>
      <c r="K177" s="96"/>
      <c r="L177" s="68">
        <f>L167+L166+L165</f>
        <v>1077.216</v>
      </c>
      <c r="M177" s="69"/>
      <c r="N177" s="68">
        <f>N167+N166+N165</f>
        <v>5991.67</v>
      </c>
      <c r="O177" s="69"/>
      <c r="P177" s="68">
        <f>P167+P166+P165</f>
        <v>4083.33</v>
      </c>
      <c r="Q177" s="69"/>
      <c r="R177" s="68">
        <f>R167+R166+R165</f>
        <v>2993.1828</v>
      </c>
      <c r="S177" s="70"/>
      <c r="T177" s="70"/>
      <c r="U177" s="356"/>
      <c r="V177" s="70"/>
      <c r="W177" s="130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</row>
    <row r="178" spans="1:41" s="216" customFormat="1" ht="15.75">
      <c r="A178" s="304" t="s">
        <v>354</v>
      </c>
      <c r="B178" s="305"/>
      <c r="C178" s="305"/>
      <c r="D178" s="305"/>
      <c r="E178" s="305"/>
      <c r="F178" s="282">
        <f>F167</f>
        <v>12592.8988</v>
      </c>
      <c r="G178" s="279"/>
      <c r="H178" s="279"/>
      <c r="I178" s="279"/>
      <c r="J178" s="279"/>
      <c r="K178" s="316"/>
      <c r="L178" s="279"/>
      <c r="M178" s="280"/>
      <c r="N178" s="279"/>
      <c r="O178" s="280"/>
      <c r="P178" s="279"/>
      <c r="Q178" s="280"/>
      <c r="R178" s="279"/>
      <c r="S178" s="281"/>
      <c r="T178" s="281"/>
      <c r="U178" s="375"/>
      <c r="V178" s="281"/>
      <c r="W178" s="276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</row>
    <row r="179" spans="1:41" s="52" customFormat="1" ht="15.75">
      <c r="A179" s="380" t="s">
        <v>339</v>
      </c>
      <c r="B179" s="381"/>
      <c r="C179" s="381"/>
      <c r="D179" s="381"/>
      <c r="E179" s="381"/>
      <c r="F179" s="381"/>
      <c r="G179" s="381"/>
      <c r="H179" s="381"/>
      <c r="I179" s="381"/>
      <c r="J179" s="381"/>
      <c r="K179" s="381"/>
      <c r="L179" s="381"/>
      <c r="M179" s="381"/>
      <c r="N179" s="381"/>
      <c r="O179" s="381"/>
      <c r="P179" s="381"/>
      <c r="Q179" s="381"/>
      <c r="R179" s="381"/>
      <c r="S179" s="381"/>
      <c r="T179" s="381"/>
      <c r="U179" s="37" t="s">
        <v>392</v>
      </c>
      <c r="V179" s="381"/>
      <c r="W179" s="382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</row>
    <row r="180" spans="1:41" s="52" customFormat="1" ht="15.75">
      <c r="A180" s="113" t="s">
        <v>340</v>
      </c>
      <c r="B180" s="193" t="s">
        <v>57</v>
      </c>
      <c r="C180" s="65"/>
      <c r="D180" s="65"/>
      <c r="E180" s="65"/>
      <c r="F180" s="36">
        <f>F181+F182</f>
        <v>1553.9499999999998</v>
      </c>
      <c r="G180" s="65"/>
      <c r="H180" s="156">
        <f>H181+H183</f>
        <v>1553.9499999999998</v>
      </c>
      <c r="I180" s="65"/>
      <c r="J180" s="65"/>
      <c r="K180" s="156"/>
      <c r="L180" s="156">
        <f>L181+L183</f>
        <v>701.27</v>
      </c>
      <c r="M180" s="156"/>
      <c r="N180" s="156">
        <f>N181+N183</f>
        <v>0</v>
      </c>
      <c r="O180" s="156"/>
      <c r="P180" s="156">
        <f>P181+P183</f>
        <v>852.68</v>
      </c>
      <c r="Q180" s="156"/>
      <c r="R180" s="156">
        <f>R181+R183</f>
        <v>0</v>
      </c>
      <c r="S180" s="65"/>
      <c r="T180" s="65"/>
      <c r="U180" s="49"/>
      <c r="V180" s="65"/>
      <c r="W180" s="66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</row>
    <row r="181" spans="1:23" s="144" customFormat="1" ht="15.75">
      <c r="A181" s="171" t="s">
        <v>341</v>
      </c>
      <c r="B181" s="141" t="s">
        <v>97</v>
      </c>
      <c r="C181" s="46" t="s">
        <v>44</v>
      </c>
      <c r="D181" s="142">
        <v>701.27</v>
      </c>
      <c r="E181" s="44">
        <v>1</v>
      </c>
      <c r="F181" s="44">
        <f>E181*D181</f>
        <v>701.27</v>
      </c>
      <c r="G181" s="177">
        <f>E181</f>
        <v>1</v>
      </c>
      <c r="H181" s="44">
        <f>F181</f>
        <v>701.27</v>
      </c>
      <c r="I181" s="66"/>
      <c r="J181" s="66"/>
      <c r="K181" s="54">
        <v>1</v>
      </c>
      <c r="L181" s="44">
        <f>F181</f>
        <v>701.27</v>
      </c>
      <c r="M181" s="54"/>
      <c r="N181" s="54"/>
      <c r="O181" s="54"/>
      <c r="P181" s="54"/>
      <c r="Q181" s="54"/>
      <c r="R181" s="54"/>
      <c r="S181" s="66"/>
      <c r="T181" s="66"/>
      <c r="U181" s="54">
        <v>114</v>
      </c>
      <c r="V181" s="66"/>
      <c r="W181" s="66"/>
    </row>
    <row r="182" spans="1:23" s="144" customFormat="1" ht="15.75">
      <c r="A182" s="304" t="s">
        <v>354</v>
      </c>
      <c r="B182" s="317"/>
      <c r="C182" s="318"/>
      <c r="D182" s="319"/>
      <c r="E182" s="237"/>
      <c r="F182" s="246">
        <f>F183</f>
        <v>852.68</v>
      </c>
      <c r="G182" s="362"/>
      <c r="H182" s="246">
        <f>H183</f>
        <v>852.68</v>
      </c>
      <c r="I182" s="290"/>
      <c r="J182" s="290"/>
      <c r="K182" s="289"/>
      <c r="L182" s="246">
        <f>L183</f>
        <v>0</v>
      </c>
      <c r="M182" s="289"/>
      <c r="N182" s="246">
        <f>N183</f>
        <v>0</v>
      </c>
      <c r="O182" s="289"/>
      <c r="P182" s="246">
        <f>P183</f>
        <v>852.68</v>
      </c>
      <c r="Q182" s="289"/>
      <c r="R182" s="246">
        <f>R183</f>
        <v>0</v>
      </c>
      <c r="S182" s="290"/>
      <c r="T182" s="290"/>
      <c r="U182" s="236"/>
      <c r="V182" s="290"/>
      <c r="W182" s="66"/>
    </row>
    <row r="183" spans="1:23" s="144" customFormat="1" ht="15.75">
      <c r="A183" s="171" t="s">
        <v>342</v>
      </c>
      <c r="B183" s="141" t="s">
        <v>180</v>
      </c>
      <c r="C183" s="46" t="s">
        <v>44</v>
      </c>
      <c r="D183" s="142">
        <f>720+18.01+117.5-0.34-0.52-0.03-1.94</f>
        <v>852.68</v>
      </c>
      <c r="E183" s="44">
        <v>1</v>
      </c>
      <c r="F183" s="44">
        <f>E183*D183</f>
        <v>852.68</v>
      </c>
      <c r="G183" s="177">
        <f aca="true" t="shared" si="23" ref="G183:G189">E183</f>
        <v>1</v>
      </c>
      <c r="H183" s="44">
        <f>F183</f>
        <v>852.68</v>
      </c>
      <c r="I183" s="66"/>
      <c r="J183" s="66"/>
      <c r="K183" s="112"/>
      <c r="L183" s="54"/>
      <c r="M183" s="54"/>
      <c r="N183" s="54"/>
      <c r="O183" s="177">
        <v>1</v>
      </c>
      <c r="P183" s="54">
        <f>F183-N183</f>
        <v>852.68</v>
      </c>
      <c r="Q183" s="54"/>
      <c r="R183" s="54"/>
      <c r="S183" s="66"/>
      <c r="T183" s="66"/>
      <c r="U183" s="54">
        <v>115</v>
      </c>
      <c r="V183" s="66"/>
      <c r="W183" s="66"/>
    </row>
    <row r="184" spans="1:23" s="144" customFormat="1" ht="15.75">
      <c r="A184" s="172" t="s">
        <v>343</v>
      </c>
      <c r="B184" s="194" t="s">
        <v>59</v>
      </c>
      <c r="C184" s="66"/>
      <c r="D184" s="66"/>
      <c r="E184" s="66"/>
      <c r="F184" s="173">
        <f>F185+F186+F187+F188</f>
        <v>359.77</v>
      </c>
      <c r="G184" s="177">
        <f t="shared" si="23"/>
        <v>0</v>
      </c>
      <c r="H184" s="112">
        <f>H185+H186+H187+H188</f>
        <v>359.77</v>
      </c>
      <c r="I184" s="66"/>
      <c r="J184" s="66"/>
      <c r="K184" s="112"/>
      <c r="L184" s="112">
        <f>L185+L186+L187+L188</f>
        <v>0</v>
      </c>
      <c r="M184" s="112"/>
      <c r="N184" s="58">
        <f>N185+N186+N187+N188</f>
        <v>149.4</v>
      </c>
      <c r="O184" s="44"/>
      <c r="P184" s="58">
        <f>P185+P186+P187+P188</f>
        <v>210.37</v>
      </c>
      <c r="Q184" s="112"/>
      <c r="R184" s="173">
        <f>R185+R186+R187+R188</f>
        <v>0</v>
      </c>
      <c r="S184" s="66"/>
      <c r="T184" s="66"/>
      <c r="U184" s="54"/>
      <c r="V184" s="66"/>
      <c r="W184" s="66"/>
    </row>
    <row r="185" spans="1:23" s="144" customFormat="1" ht="31.5">
      <c r="A185" s="60" t="s">
        <v>344</v>
      </c>
      <c r="B185" s="174" t="s">
        <v>99</v>
      </c>
      <c r="C185" s="54" t="s">
        <v>50</v>
      </c>
      <c r="D185" s="44">
        <v>17.62</v>
      </c>
      <c r="E185" s="71">
        <v>1</v>
      </c>
      <c r="F185" s="142">
        <v>17.62</v>
      </c>
      <c r="G185" s="177">
        <f>E183</f>
        <v>1</v>
      </c>
      <c r="H185" s="98">
        <f>F185</f>
        <v>17.62</v>
      </c>
      <c r="I185" s="97"/>
      <c r="J185" s="97"/>
      <c r="K185" s="168"/>
      <c r="L185" s="175"/>
      <c r="M185" s="168"/>
      <c r="N185" s="347"/>
      <c r="O185" s="188">
        <v>1</v>
      </c>
      <c r="P185" s="205">
        <f>F185</f>
        <v>17.62</v>
      </c>
      <c r="Q185" s="168"/>
      <c r="R185" s="168"/>
      <c r="S185" s="339"/>
      <c r="T185" s="339"/>
      <c r="U185" s="374">
        <v>116</v>
      </c>
      <c r="V185" s="339"/>
      <c r="W185" s="339"/>
    </row>
    <row r="186" spans="1:23" s="144" customFormat="1" ht="47.25">
      <c r="A186" s="60" t="s">
        <v>345</v>
      </c>
      <c r="B186" s="45" t="s">
        <v>86</v>
      </c>
      <c r="C186" s="54" t="s">
        <v>50</v>
      </c>
      <c r="D186" s="44">
        <v>173.19</v>
      </c>
      <c r="E186" s="71">
        <v>1</v>
      </c>
      <c r="F186" s="142">
        <f>E186*D186</f>
        <v>173.19</v>
      </c>
      <c r="G186" s="177">
        <f t="shared" si="23"/>
        <v>1</v>
      </c>
      <c r="H186" s="98">
        <f>F186</f>
        <v>173.19</v>
      </c>
      <c r="I186" s="71"/>
      <c r="J186" s="98"/>
      <c r="K186" s="168"/>
      <c r="L186" s="168"/>
      <c r="M186" s="187"/>
      <c r="N186" s="205"/>
      <c r="O186" s="188">
        <v>1</v>
      </c>
      <c r="P186" s="205">
        <f>F186</f>
        <v>173.19</v>
      </c>
      <c r="Q186" s="168"/>
      <c r="R186" s="168"/>
      <c r="S186" s="200"/>
      <c r="T186" s="200"/>
      <c r="U186" s="365">
        <v>117</v>
      </c>
      <c r="V186" s="200"/>
      <c r="W186" s="200"/>
    </row>
    <row r="187" spans="1:23" s="144" customFormat="1" ht="15.75">
      <c r="A187" s="60" t="s">
        <v>346</v>
      </c>
      <c r="B187" s="99" t="s">
        <v>87</v>
      </c>
      <c r="C187" s="54" t="s">
        <v>50</v>
      </c>
      <c r="D187" s="34">
        <v>23.6</v>
      </c>
      <c r="E187" s="71">
        <v>1</v>
      </c>
      <c r="F187" s="137">
        <f>E187*D187</f>
        <v>23.6</v>
      </c>
      <c r="G187" s="177">
        <f>E190</f>
        <v>1</v>
      </c>
      <c r="H187" s="98">
        <f>F187</f>
        <v>23.6</v>
      </c>
      <c r="I187" s="97"/>
      <c r="J187" s="97"/>
      <c r="K187" s="187"/>
      <c r="L187" s="168"/>
      <c r="M187" s="187">
        <v>1</v>
      </c>
      <c r="N187" s="205">
        <f>F187</f>
        <v>23.6</v>
      </c>
      <c r="O187" s="205"/>
      <c r="P187" s="205"/>
      <c r="Q187" s="168"/>
      <c r="R187" s="168"/>
      <c r="S187" s="200"/>
      <c r="T187" s="200"/>
      <c r="U187" s="365">
        <v>118</v>
      </c>
      <c r="V187" s="200"/>
      <c r="W187" s="200"/>
    </row>
    <row r="188" spans="1:23" s="144" customFormat="1" ht="15.75">
      <c r="A188" s="304" t="s">
        <v>354</v>
      </c>
      <c r="B188" s="320"/>
      <c r="C188" s="236"/>
      <c r="D188" s="237"/>
      <c r="E188" s="321"/>
      <c r="F188" s="282">
        <f>F189+F190</f>
        <v>145.35999999999999</v>
      </c>
      <c r="G188" s="362">
        <f>G189+G190</f>
        <v>2</v>
      </c>
      <c r="H188" s="282">
        <f>H189+H190</f>
        <v>145.35999999999999</v>
      </c>
      <c r="I188" s="322"/>
      <c r="J188" s="322"/>
      <c r="K188" s="364"/>
      <c r="L188" s="282">
        <f>L189+L190</f>
        <v>0</v>
      </c>
      <c r="M188" s="364"/>
      <c r="N188" s="246">
        <f>N189+N190</f>
        <v>125.8</v>
      </c>
      <c r="O188" s="361"/>
      <c r="P188" s="246">
        <f>P189+P190</f>
        <v>19.56</v>
      </c>
      <c r="Q188" s="310"/>
      <c r="R188" s="282">
        <f>R189+R190</f>
        <v>0</v>
      </c>
      <c r="S188" s="247"/>
      <c r="T188" s="247"/>
      <c r="U188" s="247"/>
      <c r="V188" s="247"/>
      <c r="W188" s="268"/>
    </row>
    <row r="189" spans="1:23" s="144" customFormat="1" ht="31.5">
      <c r="A189" s="60" t="s">
        <v>347</v>
      </c>
      <c r="B189" s="176" t="s">
        <v>100</v>
      </c>
      <c r="C189" s="54" t="s">
        <v>50</v>
      </c>
      <c r="D189" s="44">
        <v>125.8</v>
      </c>
      <c r="E189" s="71">
        <v>1</v>
      </c>
      <c r="F189" s="142">
        <f>E189*D189</f>
        <v>125.8</v>
      </c>
      <c r="G189" s="177">
        <f t="shared" si="23"/>
        <v>1</v>
      </c>
      <c r="H189" s="98">
        <f>F189</f>
        <v>125.8</v>
      </c>
      <c r="I189" s="97"/>
      <c r="J189" s="97"/>
      <c r="K189" s="187"/>
      <c r="L189" s="168"/>
      <c r="M189" s="187">
        <v>1</v>
      </c>
      <c r="N189" s="205">
        <f>F189</f>
        <v>125.8</v>
      </c>
      <c r="O189" s="205"/>
      <c r="P189" s="205"/>
      <c r="Q189" s="168"/>
      <c r="R189" s="168"/>
      <c r="S189" s="200"/>
      <c r="T189" s="200"/>
      <c r="U189" s="365">
        <v>119</v>
      </c>
      <c r="V189" s="200"/>
      <c r="W189" s="200"/>
    </row>
    <row r="190" spans="1:41" s="52" customFormat="1" ht="15.75">
      <c r="A190" s="60" t="s">
        <v>348</v>
      </c>
      <c r="B190" s="176" t="s">
        <v>98</v>
      </c>
      <c r="C190" s="54" t="s">
        <v>50</v>
      </c>
      <c r="D190" s="44">
        <v>19.56</v>
      </c>
      <c r="E190" s="71">
        <v>1</v>
      </c>
      <c r="F190" s="142">
        <f>E190*D190</f>
        <v>19.56</v>
      </c>
      <c r="G190" s="177">
        <f>E190</f>
        <v>1</v>
      </c>
      <c r="H190" s="98">
        <f>F190</f>
        <v>19.56</v>
      </c>
      <c r="I190" s="97"/>
      <c r="J190" s="97"/>
      <c r="K190" s="189"/>
      <c r="L190" s="72"/>
      <c r="M190" s="72"/>
      <c r="N190" s="337"/>
      <c r="O190" s="355">
        <v>1</v>
      </c>
      <c r="P190" s="337">
        <f>F190</f>
        <v>19.56</v>
      </c>
      <c r="Q190" s="72"/>
      <c r="R190" s="72"/>
      <c r="S190" s="59"/>
      <c r="T190" s="59"/>
      <c r="U190" s="59">
        <v>121</v>
      </c>
      <c r="V190" s="59"/>
      <c r="W190" s="200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</row>
    <row r="191" spans="1:41" s="216" customFormat="1" ht="15.75">
      <c r="A191" s="400" t="s">
        <v>349</v>
      </c>
      <c r="B191" s="400"/>
      <c r="C191" s="400"/>
      <c r="D191" s="400"/>
      <c r="E191" s="400"/>
      <c r="F191" s="68">
        <f>F184+F180</f>
        <v>1913.7199999999998</v>
      </c>
      <c r="G191" s="68"/>
      <c r="H191" s="68">
        <f>H184+H180</f>
        <v>1913.7199999999998</v>
      </c>
      <c r="I191" s="68"/>
      <c r="J191" s="68"/>
      <c r="K191" s="69"/>
      <c r="L191" s="68">
        <f>L184+L180</f>
        <v>701.27</v>
      </c>
      <c r="M191" s="69"/>
      <c r="N191" s="68">
        <f>N184+N180</f>
        <v>149.4</v>
      </c>
      <c r="O191" s="69"/>
      <c r="P191" s="68">
        <f>P184+P180</f>
        <v>1063.05</v>
      </c>
      <c r="Q191" s="69"/>
      <c r="R191" s="68">
        <f>R184+R180</f>
        <v>0</v>
      </c>
      <c r="S191" s="70"/>
      <c r="T191" s="70"/>
      <c r="U191" s="356"/>
      <c r="V191" s="70"/>
      <c r="W191" s="130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</row>
    <row r="192" spans="1:41" s="216" customFormat="1" ht="15.75">
      <c r="A192" s="304" t="s">
        <v>354</v>
      </c>
      <c r="B192" s="324"/>
      <c r="C192" s="324"/>
      <c r="D192" s="324"/>
      <c r="E192" s="324"/>
      <c r="F192" s="282">
        <f>F188+F182</f>
        <v>998.04</v>
      </c>
      <c r="G192" s="282"/>
      <c r="H192" s="282"/>
      <c r="I192" s="282"/>
      <c r="J192" s="282"/>
      <c r="K192" s="310"/>
      <c r="L192" s="282"/>
      <c r="M192" s="310"/>
      <c r="N192" s="282"/>
      <c r="O192" s="310"/>
      <c r="P192" s="282"/>
      <c r="Q192" s="310"/>
      <c r="R192" s="282"/>
      <c r="S192" s="312"/>
      <c r="T192" s="312"/>
      <c r="U192" s="247"/>
      <c r="V192" s="312"/>
      <c r="W192" s="130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</row>
    <row r="193" spans="1:41" s="216" customFormat="1" ht="15.75">
      <c r="A193" s="400" t="s">
        <v>33</v>
      </c>
      <c r="B193" s="400"/>
      <c r="C193" s="400"/>
      <c r="D193" s="400"/>
      <c r="E193" s="400"/>
      <c r="F193" s="68">
        <f>F191+F177+F162+F155+F129+F125+F100</f>
        <v>186404.99815333332</v>
      </c>
      <c r="G193" s="68"/>
      <c r="H193" s="68">
        <f>H191+H177+H162+H155+H129+H125+H100</f>
        <v>186334.9954607333</v>
      </c>
      <c r="I193" s="68"/>
      <c r="J193" s="68">
        <f>J191+J177+J162+J155+J129+J125+J100</f>
        <v>70</v>
      </c>
      <c r="K193" s="69"/>
      <c r="L193" s="68">
        <f>L191+L177+L162+L155+L129+L125+L100</f>
        <v>37281.0031</v>
      </c>
      <c r="M193" s="69"/>
      <c r="N193" s="68">
        <f>N191+N177+N162+N155+N129+N125+N100</f>
        <v>46601.245200000005</v>
      </c>
      <c r="O193" s="69"/>
      <c r="P193" s="68">
        <f>P191+P177+P162+P155+P129+P125+P100</f>
        <v>46601.251286666666</v>
      </c>
      <c r="Q193" s="69"/>
      <c r="R193" s="68">
        <f>R191+R177+R162+R155+R129+R125+R100</f>
        <v>55921.49587406667</v>
      </c>
      <c r="S193" s="70"/>
      <c r="T193" s="70"/>
      <c r="U193" s="356"/>
      <c r="V193" s="70"/>
      <c r="W193" s="130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</row>
    <row r="194" spans="1:41" s="216" customFormat="1" ht="15.75">
      <c r="A194" s="450" t="s">
        <v>354</v>
      </c>
      <c r="B194" s="450"/>
      <c r="C194" s="450"/>
      <c r="D194" s="324"/>
      <c r="E194" s="324"/>
      <c r="F194" s="282">
        <f>F192+F178+F163+F156+F130+F126+F101</f>
        <v>146431.99770666668</v>
      </c>
      <c r="G194" s="282"/>
      <c r="H194" s="282"/>
      <c r="I194" s="282"/>
      <c r="J194" s="282"/>
      <c r="K194" s="310"/>
      <c r="L194" s="282"/>
      <c r="M194" s="310"/>
      <c r="N194" s="282"/>
      <c r="O194" s="310"/>
      <c r="P194" s="282"/>
      <c r="Q194" s="310"/>
      <c r="R194" s="282"/>
      <c r="S194" s="312"/>
      <c r="T194" s="312"/>
      <c r="U194" s="247"/>
      <c r="V194" s="312"/>
      <c r="W194" s="323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</row>
    <row r="195" spans="1:23" s="144" customFormat="1" ht="15.75">
      <c r="A195" s="357"/>
      <c r="B195" s="357"/>
      <c r="C195" s="357"/>
      <c r="D195" s="357"/>
      <c r="E195" s="357"/>
      <c r="F195" s="358"/>
      <c r="G195" s="358"/>
      <c r="H195" s="358"/>
      <c r="I195" s="358"/>
      <c r="J195" s="358"/>
      <c r="K195" s="359"/>
      <c r="L195" s="358"/>
      <c r="M195" s="359"/>
      <c r="N195" s="358"/>
      <c r="O195" s="359"/>
      <c r="P195" s="358"/>
      <c r="Q195" s="359"/>
      <c r="R195" s="358"/>
      <c r="S195" s="323"/>
      <c r="T195" s="323"/>
      <c r="U195" s="146"/>
      <c r="V195" s="323"/>
      <c r="W195" s="323"/>
    </row>
    <row r="196" spans="3:41" s="52" customFormat="1" ht="18.75">
      <c r="C196" s="144"/>
      <c r="E196" s="144"/>
      <c r="F196" s="341"/>
      <c r="G196" s="231"/>
      <c r="H196" s="144"/>
      <c r="I196" s="144"/>
      <c r="J196" s="144"/>
      <c r="L196" s="340"/>
      <c r="M196" s="340"/>
      <c r="N196" s="340"/>
      <c r="O196" s="340"/>
      <c r="P196" s="340"/>
      <c r="Q196" s="340"/>
      <c r="R196" s="340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</row>
    <row r="197" spans="1:41" s="52" customFormat="1" ht="15.75">
      <c r="A197" s="217" t="s">
        <v>40</v>
      </c>
      <c r="B197" s="217"/>
      <c r="C197" s="218"/>
      <c r="D197" s="151"/>
      <c r="E197" s="152"/>
      <c r="F197" s="153"/>
      <c r="G197" s="219"/>
      <c r="H197" s="219"/>
      <c r="I197" s="220"/>
      <c r="J197" s="220"/>
      <c r="K197" s="158"/>
      <c r="L197" s="336"/>
      <c r="M197" s="336"/>
      <c r="N197" s="336"/>
      <c r="O197" s="336"/>
      <c r="P197" s="336"/>
      <c r="Q197" s="336"/>
      <c r="R197" s="336"/>
      <c r="S197" s="217"/>
      <c r="T197" s="217"/>
      <c r="U197" s="159"/>
      <c r="V197" s="217"/>
      <c r="W197" s="218"/>
      <c r="X197" s="218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</row>
    <row r="198" spans="3:41" s="52" customFormat="1" ht="15.75">
      <c r="C198" s="144"/>
      <c r="E198" s="144"/>
      <c r="F198" s="221"/>
      <c r="G198" s="222"/>
      <c r="H198" s="222"/>
      <c r="I198" s="223"/>
      <c r="J198" s="223"/>
      <c r="P198" s="341"/>
      <c r="R198" s="341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</row>
    <row r="199" spans="1:41" s="229" customFormat="1" ht="15.75">
      <c r="A199" s="224"/>
      <c r="B199" s="1" t="s">
        <v>37</v>
      </c>
      <c r="C199" s="144"/>
      <c r="D199" s="154"/>
      <c r="E199" s="144"/>
      <c r="F199" s="225"/>
      <c r="G199" s="222"/>
      <c r="H199" s="226"/>
      <c r="I199" s="144"/>
      <c r="J199" s="144"/>
      <c r="K199" s="154"/>
      <c r="L199" s="154"/>
      <c r="M199" s="160"/>
      <c r="N199" s="161" t="s">
        <v>56</v>
      </c>
      <c r="O199" s="160"/>
      <c r="P199" s="154"/>
      <c r="Q199" s="154"/>
      <c r="R199" s="155"/>
      <c r="S199" s="155"/>
      <c r="T199" s="155"/>
      <c r="U199" s="155"/>
      <c r="V199" s="155"/>
      <c r="W199" s="227"/>
      <c r="X199" s="227"/>
      <c r="Y199" s="228"/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28"/>
      <c r="AN199" s="228"/>
      <c r="AO199" s="228"/>
    </row>
    <row r="200" spans="1:41" s="229" customFormat="1" ht="15.75">
      <c r="A200" s="230"/>
      <c r="B200" s="2" t="s">
        <v>38</v>
      </c>
      <c r="C200" s="144"/>
      <c r="D200" s="154"/>
      <c r="E200" s="144"/>
      <c r="F200" s="225"/>
      <c r="G200" s="226"/>
      <c r="H200" s="226"/>
      <c r="I200" s="144"/>
      <c r="J200" s="144"/>
      <c r="K200" s="154"/>
      <c r="L200" s="154"/>
      <c r="M200" s="160"/>
      <c r="N200" s="160" t="s">
        <v>36</v>
      </c>
      <c r="O200" s="160"/>
      <c r="P200" s="154"/>
      <c r="Q200" s="154"/>
      <c r="R200" s="155"/>
      <c r="S200" s="155"/>
      <c r="T200" s="155"/>
      <c r="U200" s="155"/>
      <c r="V200" s="155"/>
      <c r="W200" s="227"/>
      <c r="X200" s="227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28"/>
      <c r="AO200" s="228"/>
    </row>
    <row r="201" spans="1:41" s="229" customFormat="1" ht="15.75">
      <c r="A201" s="154"/>
      <c r="B201" s="2"/>
      <c r="C201" s="144"/>
      <c r="D201" s="154"/>
      <c r="E201" s="144"/>
      <c r="F201" s="225"/>
      <c r="G201" s="222"/>
      <c r="H201" s="222"/>
      <c r="I201" s="231"/>
      <c r="J201" s="231"/>
      <c r="K201" s="154"/>
      <c r="L201" s="154"/>
      <c r="M201" s="154"/>
      <c r="N201" s="154"/>
      <c r="O201" s="154"/>
      <c r="P201" s="154"/>
      <c r="Q201" s="154"/>
      <c r="R201" s="154"/>
      <c r="S201" s="155"/>
      <c r="T201" s="155"/>
      <c r="U201" s="155"/>
      <c r="V201" s="155"/>
      <c r="W201" s="227"/>
      <c r="X201" s="227"/>
      <c r="Y201" s="228"/>
      <c r="Z201" s="228"/>
      <c r="AA201" s="228"/>
      <c r="AB201" s="228"/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228"/>
      <c r="AN201" s="228"/>
      <c r="AO201" s="228"/>
    </row>
    <row r="202" spans="1:41" s="229" customFormat="1" ht="15.75">
      <c r="A202" s="154"/>
      <c r="B202" s="2"/>
      <c r="C202" s="144"/>
      <c r="D202" s="154"/>
      <c r="E202" s="144"/>
      <c r="F202" s="225"/>
      <c r="G202" s="223"/>
      <c r="H202" s="223"/>
      <c r="I202" s="231"/>
      <c r="J202" s="231"/>
      <c r="K202" s="154"/>
      <c r="L202" s="154"/>
      <c r="M202" s="154"/>
      <c r="N202" s="154"/>
      <c r="O202" s="154"/>
      <c r="P202" s="154"/>
      <c r="Q202" s="154"/>
      <c r="R202" s="154"/>
      <c r="S202" s="155"/>
      <c r="T202" s="155"/>
      <c r="U202" s="155"/>
      <c r="V202" s="155"/>
      <c r="W202" s="227"/>
      <c r="X202" s="227"/>
      <c r="Y202" s="228"/>
      <c r="Z202" s="228"/>
      <c r="AA202" s="228"/>
      <c r="AB202" s="228"/>
      <c r="AC202" s="228"/>
      <c r="AD202" s="228"/>
      <c r="AE202" s="228"/>
      <c r="AF202" s="228"/>
      <c r="AG202" s="228"/>
      <c r="AH202" s="228"/>
      <c r="AI202" s="228"/>
      <c r="AJ202" s="228"/>
      <c r="AK202" s="228"/>
      <c r="AL202" s="228"/>
      <c r="AM202" s="228"/>
      <c r="AN202" s="228"/>
      <c r="AO202" s="228"/>
    </row>
    <row r="203" spans="1:41" s="229" customFormat="1" ht="15.75">
      <c r="A203" s="154"/>
      <c r="B203" s="3" t="s">
        <v>84</v>
      </c>
      <c r="C203" s="144"/>
      <c r="D203" s="155"/>
      <c r="E203" s="232"/>
      <c r="F203" s="396" t="s">
        <v>4</v>
      </c>
      <c r="G203" s="396"/>
      <c r="H203" s="396"/>
      <c r="I203" s="396"/>
      <c r="J203" s="396"/>
      <c r="K203" s="396"/>
      <c r="L203" s="154"/>
      <c r="M203" s="154"/>
      <c r="N203" s="154"/>
      <c r="O203" s="154"/>
      <c r="P203" s="154"/>
      <c r="Q203" s="154"/>
      <c r="R203" s="154"/>
      <c r="S203" s="155"/>
      <c r="T203" s="155"/>
      <c r="U203" s="155"/>
      <c r="V203" s="155"/>
      <c r="W203" s="227"/>
      <c r="X203" s="227"/>
      <c r="Y203" s="228"/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28"/>
      <c r="AN203" s="228"/>
      <c r="AO203" s="228"/>
    </row>
    <row r="204" spans="1:41" s="235" customFormat="1" ht="15.75">
      <c r="A204" s="233"/>
      <c r="B204" s="233"/>
      <c r="C204" s="111"/>
      <c r="D204" s="111"/>
      <c r="E204" s="218"/>
      <c r="F204" s="217"/>
      <c r="G204" s="218"/>
      <c r="H204" s="218"/>
      <c r="I204" s="218"/>
      <c r="J204" s="218"/>
      <c r="K204" s="159"/>
      <c r="L204" s="159"/>
      <c r="M204" s="159"/>
      <c r="N204" s="159"/>
      <c r="O204" s="159"/>
      <c r="P204" s="159"/>
      <c r="Q204" s="159"/>
      <c r="R204" s="159"/>
      <c r="S204" s="217"/>
      <c r="T204" s="217"/>
      <c r="U204" s="159"/>
      <c r="V204" s="217"/>
      <c r="W204" s="218"/>
      <c r="X204" s="218"/>
      <c r="Y204" s="234"/>
      <c r="Z204" s="234"/>
      <c r="AA204" s="234"/>
      <c r="AB204" s="234"/>
      <c r="AC204" s="234"/>
      <c r="AD204" s="234"/>
      <c r="AE204" s="234"/>
      <c r="AF204" s="234"/>
      <c r="AG204" s="234"/>
      <c r="AH204" s="234"/>
      <c r="AI204" s="234"/>
      <c r="AJ204" s="234"/>
      <c r="AK204" s="234"/>
      <c r="AL204" s="234"/>
      <c r="AM204" s="234"/>
      <c r="AN204" s="234"/>
      <c r="AO204" s="234"/>
    </row>
    <row r="205" spans="1:41" s="30" customFormat="1" ht="18.75">
      <c r="A205" s="108"/>
      <c r="C205" s="147"/>
      <c r="D205" s="147"/>
      <c r="E205" s="107"/>
      <c r="G205" s="107"/>
      <c r="H205" s="107"/>
      <c r="I205" s="107"/>
      <c r="J205" s="107"/>
      <c r="K205" s="159"/>
      <c r="L205" s="159"/>
      <c r="M205" s="159"/>
      <c r="N205" s="159"/>
      <c r="O205" s="159"/>
      <c r="P205" s="159"/>
      <c r="Q205" s="159"/>
      <c r="R205" s="159"/>
      <c r="U205" s="366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</row>
    <row r="206" spans="3:41" s="109" customFormat="1" ht="18.75">
      <c r="C206" s="147"/>
      <c r="D206" s="148"/>
      <c r="K206" s="52"/>
      <c r="L206" s="52"/>
      <c r="M206" s="52"/>
      <c r="N206" s="52"/>
      <c r="O206" s="52"/>
      <c r="P206" s="52"/>
      <c r="Q206" s="52"/>
      <c r="R206" s="52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</row>
    <row r="207" spans="3:41" s="109" customFormat="1" ht="18.75">
      <c r="C207" s="147"/>
      <c r="D207" s="148"/>
      <c r="K207" s="52"/>
      <c r="L207" s="52"/>
      <c r="M207" s="52"/>
      <c r="N207" s="52"/>
      <c r="O207" s="52"/>
      <c r="P207" s="52"/>
      <c r="Q207" s="52"/>
      <c r="R207" s="52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</row>
    <row r="208" spans="3:41" s="109" customFormat="1" ht="18.75">
      <c r="C208" s="149"/>
      <c r="D208" s="150"/>
      <c r="K208" s="52"/>
      <c r="L208" s="52"/>
      <c r="M208" s="52"/>
      <c r="N208" s="52"/>
      <c r="O208" s="52"/>
      <c r="P208" s="52"/>
      <c r="Q208" s="52"/>
      <c r="R208" s="52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</row>
    <row r="209" spans="1:23" ht="15.75">
      <c r="A209" s="52"/>
      <c r="B209" s="52"/>
      <c r="E209" s="52"/>
      <c r="F209" s="52"/>
      <c r="G209" s="52"/>
      <c r="H209" s="52"/>
      <c r="I209" s="52"/>
      <c r="J209" s="52"/>
      <c r="S209" s="52"/>
      <c r="T209" s="52"/>
      <c r="U209" s="52"/>
      <c r="V209" s="52"/>
      <c r="W209" s="144"/>
    </row>
    <row r="210" spans="1:23" ht="15.75">
      <c r="A210" s="52"/>
      <c r="B210" s="52"/>
      <c r="E210" s="52"/>
      <c r="F210" s="52"/>
      <c r="G210" s="52"/>
      <c r="H210" s="52"/>
      <c r="I210" s="52"/>
      <c r="J210" s="52"/>
      <c r="S210" s="52"/>
      <c r="T210" s="52"/>
      <c r="U210" s="52"/>
      <c r="V210" s="52"/>
      <c r="W210" s="144"/>
    </row>
    <row r="211" spans="1:23" ht="15.75">
      <c r="A211" s="52"/>
      <c r="B211" s="52"/>
      <c r="E211" s="52"/>
      <c r="F211" s="52"/>
      <c r="G211" s="52"/>
      <c r="H211" s="52"/>
      <c r="I211" s="52"/>
      <c r="J211" s="52"/>
      <c r="S211" s="52"/>
      <c r="T211" s="52"/>
      <c r="U211" s="52"/>
      <c r="V211" s="52"/>
      <c r="W211" s="144"/>
    </row>
  </sheetData>
  <sheetProtection insertRows="0" deleteRows="0"/>
  <mergeCells count="55">
    <mergeCell ref="A10:C10"/>
    <mergeCell ref="A6:W6"/>
    <mergeCell ref="W2:W4"/>
    <mergeCell ref="E3:E4"/>
    <mergeCell ref="Q3:R3"/>
    <mergeCell ref="U2:U4"/>
    <mergeCell ref="M3:N3"/>
    <mergeCell ref="K3:L3"/>
    <mergeCell ref="F3:F4"/>
    <mergeCell ref="V2:V4"/>
    <mergeCell ref="A194:C194"/>
    <mergeCell ref="A101:C101"/>
    <mergeCell ref="H17:H18"/>
    <mergeCell ref="F26:F27"/>
    <mergeCell ref="A162:E162"/>
    <mergeCell ref="A177:E177"/>
    <mergeCell ref="A153:C153"/>
    <mergeCell ref="A149:C149"/>
    <mergeCell ref="A121:C121"/>
    <mergeCell ref="F17:F18"/>
    <mergeCell ref="A1:W1"/>
    <mergeCell ref="A2:A4"/>
    <mergeCell ref="B2:B4"/>
    <mergeCell ref="C2:C4"/>
    <mergeCell ref="G2:J2"/>
    <mergeCell ref="S2:S4"/>
    <mergeCell ref="O3:P3"/>
    <mergeCell ref="D2:F2"/>
    <mergeCell ref="T2:T4"/>
    <mergeCell ref="K2:R2"/>
    <mergeCell ref="I3:J3"/>
    <mergeCell ref="F203:K203"/>
    <mergeCell ref="D3:D4"/>
    <mergeCell ref="A191:E191"/>
    <mergeCell ref="A155:E155"/>
    <mergeCell ref="C17:C18"/>
    <mergeCell ref="D17:D18"/>
    <mergeCell ref="G3:H3"/>
    <mergeCell ref="A144:C144"/>
    <mergeCell ref="A126:C126"/>
    <mergeCell ref="W29:W41"/>
    <mergeCell ref="X26:X27"/>
    <mergeCell ref="A112:C112"/>
    <mergeCell ref="A19:C19"/>
    <mergeCell ref="A100:B100"/>
    <mergeCell ref="W20:W21"/>
    <mergeCell ref="W26:W27"/>
    <mergeCell ref="A59:B59"/>
    <mergeCell ref="A193:E193"/>
    <mergeCell ref="A125:E125"/>
    <mergeCell ref="A127:W127"/>
    <mergeCell ref="A129:E129"/>
    <mergeCell ref="A135:C135"/>
    <mergeCell ref="A139:C139"/>
    <mergeCell ref="A160:C160"/>
  </mergeCells>
  <printOptions/>
  <pageMargins left="0.03937007874015748" right="0.03937007874015748" top="0.35433070866141736" bottom="0.15748031496062992" header="0.11811023622047245" footer="0.5118110236220472"/>
  <pageSetup fitToHeight="0" horizontalDpi="600" verticalDpi="600" orientation="landscape" paperSize="9" scale="45" r:id="rId1"/>
  <rowBreaks count="2" manualBreakCount="2">
    <brk id="96" max="22" man="1"/>
    <brk id="148" max="22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KULINICH</dc:creator>
  <cp:keywords/>
  <dc:description/>
  <cp:lastModifiedBy>user</cp:lastModifiedBy>
  <cp:lastPrinted>2017-08-23T05:00:39Z</cp:lastPrinted>
  <dcterms:created xsi:type="dcterms:W3CDTF">2003-02-20T10:09:41Z</dcterms:created>
  <dcterms:modified xsi:type="dcterms:W3CDTF">2017-08-31T12:55:56Z</dcterms:modified>
  <cp:category/>
  <cp:version/>
  <cp:contentType/>
  <cp:contentStatus/>
</cp:coreProperties>
</file>