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\Desktop\"/>
    </mc:Choice>
  </mc:AlternateContent>
  <xr:revisionPtr revIDLastSave="0" documentId="13_ncr:1_{6BD19518-A6A6-4E22-A5CE-B646E9D77F14}" xr6:coauthVersionLast="45" xr6:coauthVersionMax="45" xr10:uidLastSave="{00000000-0000-0000-0000-000000000000}"/>
  <bookViews>
    <workbookView xWindow="-120" yWindow="-120" windowWidth="29040" windowHeight="15840" xr2:uid="{18098F58-49DE-499E-A06D-F793E85D9489}"/>
  </bookViews>
  <sheets>
    <sheet name="6. закупівля" sheetId="1" r:id="rId1"/>
  </sheets>
  <definedNames>
    <definedName name="_xlnm.Print_Area" localSheetId="0">'6. закупівля'!$A$1:$S$176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4" i="1" l="1"/>
  <c r="F161" i="1"/>
  <c r="L167" i="1" l="1"/>
  <c r="J167" i="1"/>
  <c r="M166" i="1"/>
  <c r="F166" i="1"/>
  <c r="N166" i="1" s="1"/>
  <c r="M165" i="1"/>
  <c r="F165" i="1"/>
  <c r="N165" i="1" s="1"/>
  <c r="G164" i="1"/>
  <c r="F164" i="1"/>
  <c r="H164" i="1" s="1"/>
  <c r="H167" i="1" s="1"/>
  <c r="M163" i="1"/>
  <c r="F163" i="1"/>
  <c r="N163" i="1" s="1"/>
  <c r="M162" i="1"/>
  <c r="F162" i="1"/>
  <c r="N162" i="1" s="1"/>
  <c r="M161" i="1"/>
  <c r="L158" i="1"/>
  <c r="J158" i="1"/>
  <c r="F157" i="1"/>
  <c r="N157" i="1" s="1"/>
  <c r="F156" i="1"/>
  <c r="N156" i="1" s="1"/>
  <c r="G155" i="1"/>
  <c r="F155" i="1"/>
  <c r="H155" i="1" s="1"/>
  <c r="M154" i="1"/>
  <c r="H154" i="1"/>
  <c r="J152" i="1"/>
  <c r="H152" i="1"/>
  <c r="L151" i="1"/>
  <c r="L152" i="1" s="1"/>
  <c r="E151" i="1"/>
  <c r="F151" i="1" s="1"/>
  <c r="F152" i="1" s="1"/>
  <c r="K147" i="1"/>
  <c r="F147" i="1"/>
  <c r="F146" i="1" s="1"/>
  <c r="N146" i="1"/>
  <c r="J146" i="1"/>
  <c r="H146" i="1"/>
  <c r="G146" i="1"/>
  <c r="G145" i="1"/>
  <c r="F145" i="1"/>
  <c r="H145" i="1" s="1"/>
  <c r="G144" i="1"/>
  <c r="F144" i="1"/>
  <c r="H144" i="1" s="1"/>
  <c r="G143" i="1"/>
  <c r="F143" i="1"/>
  <c r="N142" i="1"/>
  <c r="L142" i="1"/>
  <c r="J142" i="1"/>
  <c r="M141" i="1"/>
  <c r="F141" i="1"/>
  <c r="N141" i="1" s="1"/>
  <c r="M140" i="1"/>
  <c r="F140" i="1"/>
  <c r="N140" i="1" s="1"/>
  <c r="M139" i="1"/>
  <c r="F139" i="1"/>
  <c r="N139" i="1" s="1"/>
  <c r="M138" i="1"/>
  <c r="F138" i="1"/>
  <c r="N138" i="1" s="1"/>
  <c r="G137" i="1"/>
  <c r="F137" i="1"/>
  <c r="H137" i="1" s="1"/>
  <c r="G136" i="1"/>
  <c r="F136" i="1"/>
  <c r="H136" i="1" s="1"/>
  <c r="L135" i="1"/>
  <c r="J135" i="1"/>
  <c r="J134" i="1" s="1"/>
  <c r="H132" i="1"/>
  <c r="D131" i="1"/>
  <c r="F131" i="1" s="1"/>
  <c r="F130" i="1"/>
  <c r="L130" i="1" s="1"/>
  <c r="K129" i="1"/>
  <c r="F129" i="1"/>
  <c r="F128" i="1"/>
  <c r="L128" i="1" s="1"/>
  <c r="G125" i="1"/>
  <c r="G124" i="1" s="1"/>
  <c r="F125" i="1"/>
  <c r="H125" i="1" s="1"/>
  <c r="H124" i="1" s="1"/>
  <c r="N124" i="1"/>
  <c r="M124" i="1"/>
  <c r="L124" i="1"/>
  <c r="K124" i="1"/>
  <c r="J124" i="1"/>
  <c r="I124" i="1"/>
  <c r="G123" i="1"/>
  <c r="F123" i="1"/>
  <c r="G122" i="1"/>
  <c r="F122" i="1"/>
  <c r="H122" i="1" s="1"/>
  <c r="N121" i="1"/>
  <c r="M121" i="1"/>
  <c r="L121" i="1"/>
  <c r="K121" i="1"/>
  <c r="J121" i="1"/>
  <c r="I121" i="1"/>
  <c r="K120" i="1"/>
  <c r="F120" i="1"/>
  <c r="L120" i="1" s="1"/>
  <c r="K119" i="1"/>
  <c r="F119" i="1"/>
  <c r="L119" i="1" s="1"/>
  <c r="E118" i="1"/>
  <c r="F118" i="1" s="1"/>
  <c r="N117" i="1"/>
  <c r="M117" i="1"/>
  <c r="J117" i="1"/>
  <c r="I117" i="1"/>
  <c r="G117" i="1"/>
  <c r="K116" i="1"/>
  <c r="F116" i="1"/>
  <c r="L116" i="1" s="1"/>
  <c r="K115" i="1"/>
  <c r="F115" i="1"/>
  <c r="L115" i="1" s="1"/>
  <c r="N114" i="1"/>
  <c r="M114" i="1"/>
  <c r="J114" i="1"/>
  <c r="I114" i="1"/>
  <c r="H114" i="1"/>
  <c r="G114" i="1"/>
  <c r="N110" i="1"/>
  <c r="M110" i="1"/>
  <c r="M109" i="1"/>
  <c r="J109" i="1"/>
  <c r="N109" i="1" s="1"/>
  <c r="D109" i="1"/>
  <c r="M108" i="1"/>
  <c r="J108" i="1"/>
  <c r="N108" i="1" s="1"/>
  <c r="D108" i="1"/>
  <c r="M107" i="1"/>
  <c r="J107" i="1"/>
  <c r="N107" i="1" s="1"/>
  <c r="D107" i="1"/>
  <c r="M106" i="1"/>
  <c r="J106" i="1"/>
  <c r="N106" i="1" s="1"/>
  <c r="D106" i="1"/>
  <c r="M105" i="1"/>
  <c r="J105" i="1"/>
  <c r="N105" i="1" s="1"/>
  <c r="D105" i="1"/>
  <c r="M104" i="1"/>
  <c r="J104" i="1"/>
  <c r="N104" i="1" s="1"/>
  <c r="D104" i="1"/>
  <c r="M103" i="1"/>
  <c r="J103" i="1"/>
  <c r="N103" i="1" s="1"/>
  <c r="D103" i="1"/>
  <c r="M102" i="1"/>
  <c r="J102" i="1"/>
  <c r="N102" i="1" s="1"/>
  <c r="D102" i="1"/>
  <c r="M101" i="1"/>
  <c r="J101" i="1"/>
  <c r="N101" i="1" s="1"/>
  <c r="D101" i="1"/>
  <c r="M100" i="1"/>
  <c r="J100" i="1"/>
  <c r="N100" i="1" s="1"/>
  <c r="D100" i="1"/>
  <c r="M99" i="1"/>
  <c r="J99" i="1"/>
  <c r="N99" i="1" s="1"/>
  <c r="D99" i="1"/>
  <c r="M98" i="1"/>
  <c r="J98" i="1"/>
  <c r="N98" i="1" s="1"/>
  <c r="D98" i="1"/>
  <c r="M97" i="1"/>
  <c r="J97" i="1"/>
  <c r="N97" i="1" s="1"/>
  <c r="D97" i="1"/>
  <c r="M96" i="1"/>
  <c r="J96" i="1"/>
  <c r="N96" i="1" s="1"/>
  <c r="D96" i="1"/>
  <c r="M95" i="1"/>
  <c r="J95" i="1"/>
  <c r="N95" i="1" s="1"/>
  <c r="D95" i="1"/>
  <c r="M94" i="1"/>
  <c r="J94" i="1"/>
  <c r="N94" i="1" s="1"/>
  <c r="D94" i="1"/>
  <c r="M93" i="1"/>
  <c r="J93" i="1"/>
  <c r="N93" i="1" s="1"/>
  <c r="D93" i="1"/>
  <c r="L92" i="1"/>
  <c r="H92" i="1"/>
  <c r="F92" i="1"/>
  <c r="N90" i="1"/>
  <c r="L89" i="1"/>
  <c r="N88" i="1"/>
  <c r="L87" i="1"/>
  <c r="L86" i="1"/>
  <c r="J85" i="1"/>
  <c r="N84" i="1"/>
  <c r="N83" i="1"/>
  <c r="L82" i="1"/>
  <c r="N81" i="1"/>
  <c r="N80" i="1"/>
  <c r="N79" i="1"/>
  <c r="L78" i="1"/>
  <c r="L77" i="1"/>
  <c r="N77" i="1" s="1"/>
  <c r="L76" i="1"/>
  <c r="N76" i="1" s="1"/>
  <c r="L75" i="1"/>
  <c r="N75" i="1" s="1"/>
  <c r="N74" i="1"/>
  <c r="N73" i="1"/>
  <c r="L72" i="1"/>
  <c r="J72" i="1"/>
  <c r="J71" i="1"/>
  <c r="L71" i="1" s="1"/>
  <c r="N70" i="1"/>
  <c r="N69" i="1"/>
  <c r="N68" i="1"/>
  <c r="J67" i="1"/>
  <c r="L67" i="1" s="1"/>
  <c r="F66" i="1"/>
  <c r="N66" i="1" s="1"/>
  <c r="N65" i="1"/>
  <c r="N64" i="1"/>
  <c r="N63" i="1"/>
  <c r="N62" i="1"/>
  <c r="N61" i="1"/>
  <c r="N60" i="1"/>
  <c r="J59" i="1"/>
  <c r="L59" i="1" s="1"/>
  <c r="N58" i="1"/>
  <c r="F57" i="1"/>
  <c r="J56" i="1"/>
  <c r="L56" i="1" s="1"/>
  <c r="L55" i="1"/>
  <c r="N55" i="1" s="1"/>
  <c r="L54" i="1"/>
  <c r="N54" i="1" s="1"/>
  <c r="L53" i="1"/>
  <c r="N53" i="1" s="1"/>
  <c r="M52" i="1"/>
  <c r="K52" i="1"/>
  <c r="I52" i="1"/>
  <c r="H52" i="1"/>
  <c r="G52" i="1"/>
  <c r="E52" i="1"/>
  <c r="J51" i="1"/>
  <c r="L51" i="1" s="1"/>
  <c r="J50" i="1"/>
  <c r="L50" i="1" s="1"/>
  <c r="J49" i="1"/>
  <c r="L49" i="1" s="1"/>
  <c r="J48" i="1"/>
  <c r="J47" i="1"/>
  <c r="L47" i="1" s="1"/>
  <c r="J46" i="1"/>
  <c r="L46" i="1" s="1"/>
  <c r="J45" i="1"/>
  <c r="L45" i="1" s="1"/>
  <c r="N44" i="1"/>
  <c r="M44" i="1"/>
  <c r="K44" i="1"/>
  <c r="I44" i="1"/>
  <c r="H44" i="1"/>
  <c r="G44" i="1"/>
  <c r="F44" i="1"/>
  <c r="E44" i="1"/>
  <c r="J43" i="1"/>
  <c r="J42" i="1"/>
  <c r="J41" i="1"/>
  <c r="J40" i="1"/>
  <c r="F39" i="1"/>
  <c r="J39" i="1" s="1"/>
  <c r="N38" i="1"/>
  <c r="M38" i="1"/>
  <c r="L38" i="1"/>
  <c r="K38" i="1"/>
  <c r="I38" i="1"/>
  <c r="H38" i="1"/>
  <c r="G38" i="1"/>
  <c r="F38" i="1"/>
  <c r="E38" i="1"/>
  <c r="N91" i="1"/>
  <c r="N35" i="1"/>
  <c r="N36" i="1"/>
  <c r="H34" i="1"/>
  <c r="L34" i="1" s="1"/>
  <c r="D34" i="1"/>
  <c r="L32" i="1"/>
  <c r="K32" i="1"/>
  <c r="D32" i="1"/>
  <c r="M31" i="1"/>
  <c r="L31" i="1"/>
  <c r="N31" i="1" s="1"/>
  <c r="D31" i="1"/>
  <c r="H30" i="1"/>
  <c r="G30" i="1"/>
  <c r="D30" i="1"/>
  <c r="H29" i="1"/>
  <c r="G29" i="1"/>
  <c r="D29" i="1"/>
  <c r="N28" i="1"/>
  <c r="M28" i="1"/>
  <c r="D28" i="1"/>
  <c r="I27" i="1"/>
  <c r="H27" i="1"/>
  <c r="J27" i="1" s="1"/>
  <c r="D27" i="1"/>
  <c r="N26" i="1"/>
  <c r="M26" i="1"/>
  <c r="D26" i="1"/>
  <c r="M25" i="1"/>
  <c r="L25" i="1"/>
  <c r="N25" i="1" s="1"/>
  <c r="D25" i="1"/>
  <c r="I24" i="1"/>
  <c r="H24" i="1"/>
  <c r="J24" i="1" s="1"/>
  <c r="D24" i="1"/>
  <c r="I23" i="1"/>
  <c r="H23" i="1"/>
  <c r="D23" i="1"/>
  <c r="I22" i="1"/>
  <c r="H22" i="1"/>
  <c r="J22" i="1" s="1"/>
  <c r="D22" i="1"/>
  <c r="M21" i="1"/>
  <c r="L21" i="1"/>
  <c r="N21" i="1" s="1"/>
  <c r="D21" i="1"/>
  <c r="M20" i="1"/>
  <c r="L20" i="1"/>
  <c r="N20" i="1" s="1"/>
  <c r="D20" i="1"/>
  <c r="M19" i="1"/>
  <c r="L19" i="1"/>
  <c r="N19" i="1" s="1"/>
  <c r="D19" i="1"/>
  <c r="K18" i="1"/>
  <c r="J18" i="1"/>
  <c r="L18" i="1" s="1"/>
  <c r="D18" i="1"/>
  <c r="N17" i="1"/>
  <c r="D17" i="1"/>
  <c r="K16" i="1"/>
  <c r="J16" i="1"/>
  <c r="L16" i="1" s="1"/>
  <c r="D16" i="1"/>
  <c r="N15" i="1"/>
  <c r="D15" i="1"/>
  <c r="K14" i="1"/>
  <c r="J14" i="1"/>
  <c r="L14" i="1" s="1"/>
  <c r="D14" i="1"/>
  <c r="K13" i="1"/>
  <c r="J13" i="1"/>
  <c r="L13" i="1" s="1"/>
  <c r="D13" i="1"/>
  <c r="F12" i="1"/>
  <c r="F8" i="1" s="1"/>
  <c r="E12" i="1"/>
  <c r="J11" i="1"/>
  <c r="N11" i="1" s="1"/>
  <c r="D11" i="1"/>
  <c r="K10" i="1"/>
  <c r="J10" i="1"/>
  <c r="L10" i="1" s="1"/>
  <c r="D10" i="1"/>
  <c r="K9" i="1"/>
  <c r="J9" i="1"/>
  <c r="L9" i="1" s="1"/>
  <c r="D9" i="1"/>
  <c r="L114" i="1" l="1"/>
  <c r="G12" i="1"/>
  <c r="F114" i="1"/>
  <c r="H12" i="1"/>
  <c r="H8" i="1" s="1"/>
  <c r="K37" i="1"/>
  <c r="F142" i="1"/>
  <c r="H158" i="1"/>
  <c r="F121" i="1"/>
  <c r="G37" i="1"/>
  <c r="F124" i="1"/>
  <c r="J38" i="1"/>
  <c r="N57" i="1"/>
  <c r="N52" i="1" s="1"/>
  <c r="N37" i="1" s="1"/>
  <c r="N33" i="1" s="1"/>
  <c r="F52" i="1"/>
  <c r="F37" i="1" s="1"/>
  <c r="F33" i="1" s="1"/>
  <c r="F7" i="1" s="1"/>
  <c r="F111" i="1" s="1"/>
  <c r="H37" i="1"/>
  <c r="H33" i="1" s="1"/>
  <c r="M37" i="1"/>
  <c r="K12" i="1"/>
  <c r="I12" i="1"/>
  <c r="I37" i="1"/>
  <c r="N126" i="1"/>
  <c r="N135" i="1"/>
  <c r="N134" i="1" s="1"/>
  <c r="N148" i="1" s="1"/>
  <c r="J23" i="1"/>
  <c r="J12" i="1" s="1"/>
  <c r="K118" i="1"/>
  <c r="K117" i="1" s="1"/>
  <c r="H123" i="1"/>
  <c r="H121" i="1" s="1"/>
  <c r="N128" i="1"/>
  <c r="N132" i="1" s="1"/>
  <c r="F158" i="1"/>
  <c r="E37" i="1"/>
  <c r="J126" i="1"/>
  <c r="F135" i="1"/>
  <c r="L147" i="1"/>
  <c r="L146" i="1" s="1"/>
  <c r="L134" i="1"/>
  <c r="M12" i="1"/>
  <c r="H135" i="1"/>
  <c r="F167" i="1"/>
  <c r="F117" i="1"/>
  <c r="H118" i="1"/>
  <c r="H117" i="1" s="1"/>
  <c r="J131" i="1"/>
  <c r="L131" i="1" s="1"/>
  <c r="J148" i="1"/>
  <c r="L52" i="1"/>
  <c r="L44" i="1"/>
  <c r="L12" i="1"/>
  <c r="L8" i="1" s="1"/>
  <c r="N92" i="1"/>
  <c r="J92" i="1"/>
  <c r="J52" i="1"/>
  <c r="J44" i="1"/>
  <c r="J129" i="1"/>
  <c r="F132" i="1"/>
  <c r="H143" i="1"/>
  <c r="H142" i="1" s="1"/>
  <c r="N151" i="1"/>
  <c r="N152" i="1" s="1"/>
  <c r="N161" i="1"/>
  <c r="N167" i="1" s="1"/>
  <c r="N154" i="1"/>
  <c r="N158" i="1" s="1"/>
  <c r="H7" i="1" l="1"/>
  <c r="H111" i="1" s="1"/>
  <c r="F134" i="1"/>
  <c r="F148" i="1" s="1"/>
  <c r="F126" i="1"/>
  <c r="H134" i="1"/>
  <c r="H148" i="1" s="1"/>
  <c r="H126" i="1"/>
  <c r="H168" i="1" s="1"/>
  <c r="N12" i="1"/>
  <c r="N8" i="1" s="1"/>
  <c r="N7" i="1" s="1"/>
  <c r="N111" i="1" s="1"/>
  <c r="N168" i="1" s="1"/>
  <c r="J37" i="1"/>
  <c r="J33" i="1" s="1"/>
  <c r="L148" i="1"/>
  <c r="J132" i="1"/>
  <c r="L37" i="1"/>
  <c r="L33" i="1" s="1"/>
  <c r="L7" i="1" s="1"/>
  <c r="L111" i="1" s="1"/>
  <c r="F168" i="1"/>
  <c r="L118" i="1"/>
  <c r="L117" i="1" s="1"/>
  <c r="L126" i="1" s="1"/>
  <c r="L129" i="1"/>
  <c r="L132" i="1" s="1"/>
  <c r="J8" i="1"/>
  <c r="J7" i="1" s="1"/>
  <c r="J111" i="1" s="1"/>
  <c r="J168" i="1" l="1"/>
  <c r="L168" i="1"/>
</calcChain>
</file>

<file path=xl/sharedStrings.xml><?xml version="1.0" encoding="utf-8"?>
<sst xmlns="http://schemas.openxmlformats.org/spreadsheetml/2006/main" count="492" uniqueCount="345">
  <si>
    <t>6. Етапи виконання заходів інвестиційної програми на прогнозний період</t>
  </si>
  <si>
    <t>№ з/п</t>
  </si>
  <si>
    <t>Найменування заходів інвестиційної програми</t>
  </si>
  <si>
    <t>Одиниця виміру</t>
  </si>
  <si>
    <t>Усього</t>
  </si>
  <si>
    <t>У т. ч. по кварталах</t>
  </si>
  <si>
    <t>Джерело фінансування</t>
  </si>
  <si>
    <t>Найменування відповідної державної програми або пункт ПРСР</t>
  </si>
  <si>
    <t>№ сторінки пояснювальної записки</t>
  </si>
  <si>
    <t>№ сторінки обґрунто-вувальних матеріалів</t>
  </si>
  <si>
    <t>Примітка</t>
  </si>
  <si>
    <t>Вартість одиниці продукції,
тис. грн (без ПДВ)</t>
  </si>
  <si>
    <t>кількість*</t>
  </si>
  <si>
    <t>тис. грн. (без ПДВ)</t>
  </si>
  <si>
    <t>І квартал</t>
  </si>
  <si>
    <t>ІІ квартал</t>
  </si>
  <si>
    <t>ІІІ квартал</t>
  </si>
  <si>
    <t>IV квартал</t>
  </si>
  <si>
    <t>кількість</t>
  </si>
  <si>
    <t>I. Будівництво, модернізація та реконструкція електричних мереж та обладнання</t>
  </si>
  <si>
    <t>І.1</t>
  </si>
  <si>
    <t xml:space="preserve">Розвиток, модернізація та будівництво
електричних мереж у т.ч.
</t>
  </si>
  <si>
    <t>І.1.1</t>
  </si>
  <si>
    <t>Реконструкція ЛЕП</t>
  </si>
  <si>
    <t>І.1.1.1</t>
  </si>
  <si>
    <t xml:space="preserve"> «Реконструкція кабельної лінії 0,4 кВ ТП-59 РБ-4 до буд. №2 по вул. Нова, м. Павлоград, Дніпропетровської обл.»</t>
  </si>
  <si>
    <t>км</t>
  </si>
  <si>
    <t>Амортизаційні відрахування</t>
  </si>
  <si>
    <t>І.1.1.2</t>
  </si>
  <si>
    <t>«Реконструкція кабельної лінії 0,4кВ від ТП-71 РБ-4 до буд. №73 по вул. Шевченко  м. Павлоград,  Дніпропетровської області».</t>
  </si>
  <si>
    <t>І.1.1.3</t>
  </si>
  <si>
    <t xml:space="preserve">«Винесення КТП-5 2Т в центр навантаження та реконструкція повітряної лінії 0,4 кВ від РБ-1 та РБ-4 КПТ-5 2Т с. Надія Криворізького району» </t>
  </si>
  <si>
    <t>шт</t>
  </si>
  <si>
    <t>І.1.1.4</t>
  </si>
  <si>
    <t xml:space="preserve">Реконструкція ПЛ-0,4 кВ з заміною проводу на СІП, в т.ч. </t>
  </si>
  <si>
    <t>І.1.1.4.1</t>
  </si>
  <si>
    <t>Реконструкція ПЛ-0,4 кВ ТП-37 РБ-1 , м. Вільногірськ,  ВгРЕМ</t>
  </si>
  <si>
    <t>І.1.1.4.2</t>
  </si>
  <si>
    <t>Реконструкція ПЛ-0,4 кВ ТП-37 РБ-4 , м. Вільногірськ, ВгРЕМ</t>
  </si>
  <si>
    <t>І.1.1.4.3</t>
  </si>
  <si>
    <t>Реконструкція ПЛ-0,4 кВ ТП-37 РБ-5 , м. Вільногірськ, ВгРЕМ</t>
  </si>
  <si>
    <t>І.1.1.4.4</t>
  </si>
  <si>
    <t>Реконструкція ПЛ-0,4 кВ ЗТП-168 АВ-8 смт. Дніпровське ВгРЕМ</t>
  </si>
  <si>
    <t>І.1.1.4.5</t>
  </si>
  <si>
    <t>Реконструкція ПЛ-0,4 кВ від КТП-574 АВ-1  м. Новомосковськ, дільниця Гвардійська, ПвРЕМ</t>
  </si>
  <si>
    <t>І.1.1.4.6</t>
  </si>
  <si>
    <t>Реконструкція ПЛ-0,4 кВ від ЗТП-173 РБ-4 №Л-808  смт. Черкаське ПвРЕМ</t>
  </si>
  <si>
    <t>І.1.1.4.7</t>
  </si>
  <si>
    <t>Реконструкція ПЛ-0,4 кВ від ЗТП-173 РБ-6 №Л-808а  смт. Черкаське ПвРЕМ</t>
  </si>
  <si>
    <t>І.1.1.4.8</t>
  </si>
  <si>
    <t>Реконструкція ПЛ-0,4 кВ від ЗТП-173 РБ-11 №Л-273б  смт. Черкаське із заміною неізольованого проводу на СІП ПвРЕМ</t>
  </si>
  <si>
    <t>І.1.1.4.9</t>
  </si>
  <si>
    <t>Реконструкція ПЛ-0,4 кВ від ЗТП-180 РБ-2 №Л-350  смт. Гвардійське, дільниця Гвардійська, ПвРЕМ</t>
  </si>
  <si>
    <t>І.1.1.4.10</t>
  </si>
  <si>
    <t>Реконструкція ПЛ-0,4 кВ від ЗТП-168 РБ-1 №Л-351  смт. Гвардійське, дільниця Гвардійська, ПвРЕМ</t>
  </si>
  <si>
    <t>І.1.1.4.11</t>
  </si>
  <si>
    <t>Реконструкція ПЛ-0,4 кВ від ЗТП-1 АВ-6 смт. Губініха, дільниця Гвардійська, ПвРЕМ</t>
  </si>
  <si>
    <t>І.1.1.4.12</t>
  </si>
  <si>
    <t>Реконструкція ПЛ-0,4кВ ТП-316 РБ-13 , м. Дніпро, ДнРЕМ</t>
  </si>
  <si>
    <t>І.1.1.4.13</t>
  </si>
  <si>
    <t>Реконструкція ПЛ-0,4кВ ТП-110 РБ-4 , м. Дніпро, ДнРЕМ</t>
  </si>
  <si>
    <t>І.1.1.4.14</t>
  </si>
  <si>
    <t>Реконструкція ПЛ-0,4кВ ТП-120 РБ-8 , м. Дніпро, ДнРЕМ</t>
  </si>
  <si>
    <t>І.1.1.4.15</t>
  </si>
  <si>
    <t>Реконструкція ПЛ-0,4кВ ТП-120 РБ-10 , м. Дніпро, ДнРЕМ</t>
  </si>
  <si>
    <t>І.1.1.4.16</t>
  </si>
  <si>
    <t>Реконструкція ПЛ-0,4кВ ТП-120 РБ-14 , м. Дніпро ДнРЕМ</t>
  </si>
  <si>
    <t>І.1.1.4.17</t>
  </si>
  <si>
    <t>Реконструкція ПЛ-0,4кВ КТП-11к РБ-2, м. Дніпро  ДнРЕМ</t>
  </si>
  <si>
    <t>І.1.1.4.18</t>
  </si>
  <si>
    <t>Реконструкція ПЛ-0,4кВ ТП-118 РБ-5, м. Дніпро, ДнРЕМ</t>
  </si>
  <si>
    <t>І.1.1.4.19</t>
  </si>
  <si>
    <t>Реконструкція ПЛ-0,4 кВ ТП-148 АВ-1, м. Жовті Води, ЖвРЕМ</t>
  </si>
  <si>
    <t>І.1.1.4.20</t>
  </si>
  <si>
    <t>Реконструкція ПЛ-0,4 кВ від ТП-64 АВ-3, м. Жовті Води, ЖвРЕМ</t>
  </si>
  <si>
    <t>І.1.2</t>
  </si>
  <si>
    <t>Технічне переоснащення (реконструкція) ПС</t>
  </si>
  <si>
    <t>І.1.2.1</t>
  </si>
  <si>
    <t>Технічне переоснащення ПС "№14" 35/6 кВ (заміна силового трансформатору 3Т, 4Т)</t>
  </si>
  <si>
    <t>За перетоки реактивної е/е, прибуток на виробничі інвестиції</t>
  </si>
  <si>
    <t>І.1.2.2</t>
  </si>
  <si>
    <t>Технічне переоснащення трансформаторної підстанції 35/6 кВ "Молзавод" (1 черга)</t>
  </si>
  <si>
    <t>шт.</t>
  </si>
  <si>
    <t>І.1.2.3</t>
  </si>
  <si>
    <t>Технічне переоснащення трансформаторної підстанції 35/6 кВ "НВ-ЦЗ"</t>
  </si>
  <si>
    <t>І.1.2.4</t>
  </si>
  <si>
    <t>Технічне переоснащення РУ-6 кВ ПС-10 з заміною в ком. №8, ком. №12, ком. №5, ком. №7, ком. №11, ком. №9 масляних вимикачів на вакуумні  та з заміною в ком. №10 вимикача навантаження на вакуумний вимикач  м. Жовті Води</t>
  </si>
  <si>
    <t>Технічне переоснащення ТП-10(6)/0,4 кВ з заміною трансформаторів, в т.ч.</t>
  </si>
  <si>
    <t>Технічне переоснащення ТП - 10/0,4 кВ з заміною тр-ра типу ТМ-630/10/0,4 на тр-р типу ТМГ-630/10/0,4</t>
  </si>
  <si>
    <t>ТП-5082          1Т          м. Дніпро, вул. Запорізьке шосе, 56Т</t>
  </si>
  <si>
    <t>ТП-5080          1Т          м. Дніпро, вул. Запорізьке шосе, 40Т</t>
  </si>
  <si>
    <t>ЗТП -180         1Т, 2Т    смт. Гвардійське</t>
  </si>
  <si>
    <t>ЗТП-575          2Т           с.Нива Трудова, вул. Залізнична, 1а (АпРЕМ)</t>
  </si>
  <si>
    <t>ПС-16             1Т           м. Жовті Води, вул. Ольховська, 1а</t>
  </si>
  <si>
    <t>Технічне переоснащення ТП-10/0,4 кВ з заміною тр-ра типу ТМ-400/10/0,4 на тр-р типу ТМГ-400/10/0,4</t>
  </si>
  <si>
    <t>ТП-5081         1Т         м. Дніпро, вул. Запорізьке шосе, 48Т</t>
  </si>
  <si>
    <t>ЗТП - 175         1Т       смт. Гвардійське (ПвРЕМ)</t>
  </si>
  <si>
    <t>ЗТП-71           1Т  м. Апостолове, вул. Центральна, 1003 (КрРЕМ)</t>
  </si>
  <si>
    <t>ЗТП-72           1Т  м. Апостолове, вул. Медична, 1000  (КрРЕМ)</t>
  </si>
  <si>
    <t>ЗТП-750          1Т с. Кресівське, вул.Центральна, 48А (КрРЕМ)</t>
  </si>
  <si>
    <t>ЗТП-299         1Т м. П`ятихатки, вул. Кодацька (ЖвРЕМ)</t>
  </si>
  <si>
    <t>КТП-199        1Т с. Грушеватка, вул. Шевченко, 134/1 (ЖвРЕМ)</t>
  </si>
  <si>
    <t>Технічне переоснащення ТП-6/0,4 кВ з заміною тр-ра типу ТМ-400/6/0,4 на тр-р типу ТМГ-400/6/0,4</t>
  </si>
  <si>
    <t>ТП-211   1Т м. Дніпро, вул. Титова, 22Д</t>
  </si>
  <si>
    <t>ТП-103         1Т      м. Дніпро, вул.Робоча, 93д</t>
  </si>
  <si>
    <t>ТП-104         1Т      м. Дніпро, вул.Робоча, 97д</t>
  </si>
  <si>
    <t>ТП-107        1Т,  2Т м. Дніпро, вул.Робоча, 174д</t>
  </si>
  <si>
    <t>ТП-109        1Т        м. Дніпро, вул.Робоча, 168Т</t>
  </si>
  <si>
    <t>ТП-110        1Т        м. Дніпро,  вул. Холодноярська, 21Д</t>
  </si>
  <si>
    <t>ТП-117        2Т        м. Дніпро, пров. Шахматний, 8Д</t>
  </si>
  <si>
    <t>ТП-119        1Т         м. Дніпро, вул. Крамського, 6Д</t>
  </si>
  <si>
    <t>ТП-120       1Т         м. Дніпро, вул. Холодноярська, 15Д</t>
  </si>
  <si>
    <t>ТП-121      2Т          м. Дніпро, вул. Криворізька, 22К</t>
  </si>
  <si>
    <t>ТП-122     1Т,  2Т    м. Дніпро, вул. Робоча 81Д</t>
  </si>
  <si>
    <t>ТП-123     1Т,  2Т    м. Дніпро, вул. Робоча 166Ж</t>
  </si>
  <si>
    <t>ТП-133     1Т          м. Дніпро, вул. Надії Алексєєнко,102Д</t>
  </si>
  <si>
    <t>ТП-138      1Т,  2Т  м. Дніпро, пров. Верстатобудівників, 6Д</t>
  </si>
  <si>
    <t>ТП-200      1Т,  2Т  м. Дніпро, вул. Академіка Янгеля 7Д</t>
  </si>
  <si>
    <t>ТП-204      1Т         м. Дніпро, вул. О. Поля, 131К</t>
  </si>
  <si>
    <t>ТП-205      2Т         м. Дніпро, вул. О. Поля, 96К</t>
  </si>
  <si>
    <t>ТП-208      1Т,  2Т  м. Дніпро, вул. Академіка Янгеля, 15Д</t>
  </si>
  <si>
    <r>
      <t xml:space="preserve">ТП-210      2Т         </t>
    </r>
    <r>
      <rPr>
        <i/>
        <sz val="20"/>
        <rFont val="Times New Roman"/>
        <family val="1"/>
        <charset val="204"/>
      </rPr>
      <t>м. Дніпро,</t>
    </r>
    <r>
      <rPr>
        <i/>
        <sz val="20"/>
        <color rgb="FFFF0000"/>
        <rFont val="Times New Roman"/>
        <family val="1"/>
        <charset val="204"/>
      </rPr>
      <t xml:space="preserve"> </t>
    </r>
    <r>
      <rPr>
        <i/>
        <sz val="20"/>
        <rFont val="Times New Roman"/>
        <family val="1"/>
        <charset val="204"/>
      </rPr>
      <t>вул.</t>
    </r>
    <r>
      <rPr>
        <i/>
        <sz val="20"/>
        <color rgb="FFFF0000"/>
        <rFont val="Times New Roman"/>
        <family val="1"/>
        <charset val="204"/>
      </rPr>
      <t xml:space="preserve"> </t>
    </r>
    <r>
      <rPr>
        <i/>
        <sz val="20"/>
        <rFont val="Times New Roman"/>
        <family val="1"/>
        <charset val="204"/>
      </rPr>
      <t xml:space="preserve">Новокримська, 42Д </t>
    </r>
  </si>
  <si>
    <t>ТП-213      1Т         м. Дніпро, вул. Титова, 6Д</t>
  </si>
  <si>
    <t>ТП-216      1Т,  2Т    м. Дніпро, вул. Титова, 29</t>
  </si>
  <si>
    <t>ТП-220      1Т           м. Дніпро, вул.Суворова, 9Д</t>
  </si>
  <si>
    <t>ТП-224     1Т            м. Дніпро, вул. пров. Архітектурний, 3Д</t>
  </si>
  <si>
    <t>ТП-240     2Т           м. Дніпро, вул. Богдана Хмельнийцького, 36Д</t>
  </si>
  <si>
    <t>ТП-242     1Т,          м. Дніпро, вул. Богдана Хмельницького, 38Д</t>
  </si>
  <si>
    <t>ТП-15А    1Т            м. Вільногірськ, вул. Центральна, 28а</t>
  </si>
  <si>
    <t>ТП-16      2Т            м. Вільногірськ, бульвар Миру, 12</t>
  </si>
  <si>
    <t>ТП-17      2Т            м. Вільногірськ, бульвар Миру, 15в</t>
  </si>
  <si>
    <t>ТП-20      1Т            м. Вільногірськ, вул. Центральна, 61б</t>
  </si>
  <si>
    <t>ТП-21     1Т, 2Т       м. Вільногірськ, вул. Молодіжна, 48в</t>
  </si>
  <si>
    <t>ЗТП-160    1Т          смт. Дніпровське, вул. Набережна, 2а (ВгРЕМ)</t>
  </si>
  <si>
    <t>ЗТП-177    2Т           смт. Дніпровське, вул. Шкільна, 2а  (ВгРЕМ)</t>
  </si>
  <si>
    <t>ТП-1       1Т             м. Павлоград, вул.Корольова С.1/2</t>
  </si>
  <si>
    <t>ТП-6/8    1Т, 2Т       м. Павлоград, вул. Кравченка, 2/1</t>
  </si>
  <si>
    <t>ТП-6        1Т            м. Павлоград, вул.Нова, 3А/1</t>
  </si>
  <si>
    <t>ТП-13Л       1Т,  2Т м. Павлоград, вул. Преображенська, 1</t>
  </si>
  <si>
    <t>ЗТП - 2  1Т              смт. Губиниха-1 (ПвРЕМ Гвард.дільниця)</t>
  </si>
  <si>
    <t>ЗТП-319   1Т           с. Мар`янське, вул. Шосейна, 2а (КрРЕМ)</t>
  </si>
  <si>
    <t xml:space="preserve">І.2 </t>
  </si>
  <si>
    <t>Проєктні роботи</t>
  </si>
  <si>
    <t>Амортизаційні відрахування, прибуток на виробничі інвестиції</t>
  </si>
  <si>
    <t>І.2.1</t>
  </si>
  <si>
    <t>Розробка проєктної документації "Реконструкція КЛ- 6 кВ від ТП-111  ком.1 до ТП-112 ком.4  м. Дніпро"</t>
  </si>
  <si>
    <t>І.2.2</t>
  </si>
  <si>
    <t>Розробка проєктної документації "Реконструкція КЛ-0,4кВ ТП-202 РБ-1 до РЩ ж/б Б.Хмельницького 26, м. Дніпро"</t>
  </si>
  <si>
    <t>І.2.3</t>
  </si>
  <si>
    <t>Розробка проєктної документації "Реконструкція КЛ-0,4кВ ТП-32 РБ-14 до РЩ ж/б Козака Мамая 30, м. Дніпро"</t>
  </si>
  <si>
    <t>І.2.4</t>
  </si>
  <si>
    <t>Розробка проєктної документації "Реконструкція КЛ-6кВ ТП-109 ком.2-ТП-102 ком.3, м. Дніпро"</t>
  </si>
  <si>
    <t>І.2.5</t>
  </si>
  <si>
    <t>Розробка проєктної документації "Реконструкція КЛ-0,4 кВ від ЗТП-164 АВ-8  до будинку №1 по вул. Спортивна, смт. Дніпровське" (ВгРЕМ)</t>
  </si>
  <si>
    <t>І.2.6</t>
  </si>
  <si>
    <t xml:space="preserve">Розробка проєктної документації  "Реконструкція кабельної лінії 10 кВ Л-143 ЗТП-153 ком. №3 - КТП-179 с. Орлівщина Новомосковського р-ну, Дніпропетровської обл."
</t>
  </si>
  <si>
    <t>І.2.7</t>
  </si>
  <si>
    <t>Розробка проєктної документації "Реконструкція кабельної лінії 10 кВ  Л-144  ЗТП-154 ком. № 1 - ЗТП-153 ком. № 1, смт. Черкаське,  Новомосковського району, Дніпропетровської обл.»</t>
  </si>
  <si>
    <t>І.2.8</t>
  </si>
  <si>
    <t>Розробка проєктної документації  "Реконструкція ПЛ-10 кВ Л-60 КТП-151 - КТП-179 с. Орлівщина Новомосковського р-ну, Дніпропетровської обл."</t>
  </si>
  <si>
    <t>І.2.9</t>
  </si>
  <si>
    <t>Розробка проєктної документації  "Технічне переоснащення  РУ-6 кВ ЦРП-2 з заміною в ком. 30 масляних вимикачів на вакуумний та встановленням вакуумного вимикача в ком. № 20  м. Дніпро"</t>
  </si>
  <si>
    <t>І.2.10</t>
  </si>
  <si>
    <t>Розробка проєктної документації «Будівництво ЩТП для розвантаження  ПЛ-0,4 кВ ТП-21 А-1, ПЛ-0,4 кВ ТП-213 АВ-2 та ПЛ-0,4 кВ ТП-46 РБ-4, РБ-6 м. Жовті Води, ЖвРЕМ»</t>
  </si>
  <si>
    <t>І.2.11</t>
  </si>
  <si>
    <t>Розробка проєктної документації "Реконструкція КЛ-6 кВ ТП-21 ком. №4 - ТП-32 ком. №2, м. Жовті Води ЖвРЕМ"</t>
  </si>
  <si>
    <t>І.2.12</t>
  </si>
  <si>
    <t>Розробка проєктної документації "Реконструкція КЛ-0,4 кВ ТП-195 РБ-5, РБ-24 – вул. М. Грушевського, 38. м Жовті Води"</t>
  </si>
  <si>
    <t>І.2.13</t>
  </si>
  <si>
    <t>Розробка проєктної документації "Будівництво розвантажувального КТП для переведення навантаження ПЛ-0,4 кВ ТП-9 РБ-11, РБ-20. м. Павлоград, ПвРЕМ"</t>
  </si>
  <si>
    <t>І.2.14</t>
  </si>
  <si>
    <t>Розробка проєктної документації «Реконструкція КЛ-0,4 кВ від ЗТП-109 РБ-8 до будинку №2 по вул. Шкільна, смт. Дніпровське» (ВгРЕМ)</t>
  </si>
  <si>
    <t>І.2.15</t>
  </si>
  <si>
    <t>Розробка проєктної документації "Технічне переоснащення  ЗРУ-1 РУ-10 кВ ПС "Сельстрой" з заміною в  ком. 4; 9; 12; 14; 15; 17; 18; 19; 20; 22 масляних вимикачів на вакуумні та з заміною в ком. 6 вимикача навантаження на вакуумний вимикач  ДнРЕМ"</t>
  </si>
  <si>
    <t>І.2.16</t>
  </si>
  <si>
    <t>Розробка проєктної документації "Технічне переоснащення  РУ-6 кВ ПС-30 з заміною в ком. №3, ком.№7, ком. №8, ком. №11, ком. №12, ком. №14, ком. №18 масляних вимикачів на вакуумні м. Жовті Води"</t>
  </si>
  <si>
    <t>І.2.17</t>
  </si>
  <si>
    <t>Розробка проєктної документації "Технічне переоснащення РУ-6 кВ ПС-10 з заміною в ком. №8, ком. №12, ком. №5, ком. №7, ком. №11, ком. №9 масляних вимикачів на вакуумні  та з заміною в ком. №10 вимикача навантаження на вакуумний вимикач  м. Жовті Води"</t>
  </si>
  <si>
    <t>І.2.18</t>
  </si>
  <si>
    <t>Коригування проєктно-кошторисної документації: Робочий проєкт ХПЕ.30655746.14.16 «Реконструкція підстанції 35/6 кВ «С-35», м. Жовті Води»</t>
  </si>
  <si>
    <t>Усього по розділу І</t>
  </si>
  <si>
    <t>II. Заходи зі зниження нетехнічних витрат електричної енергії</t>
  </si>
  <si>
    <t>ІІ.1</t>
  </si>
  <si>
    <t>Зниження понаднармотивних втрат електроенергії в т.ч.</t>
  </si>
  <si>
    <t xml:space="preserve">ІІ.1.1 </t>
  </si>
  <si>
    <t>Покращення обліку електроенергії.</t>
  </si>
  <si>
    <t>ІІ.1.1.1</t>
  </si>
  <si>
    <t>Улаштування однофазних (без вартості лічильників) вводів в будинки з застосуванням СІП та встановленням ФШО.</t>
  </si>
  <si>
    <t>ІІ.1.1.2</t>
  </si>
  <si>
    <t>Улаштування трифазних вводів (без вартості лічильників) в будинки з застосуванням СІП та встановленням ФШО.</t>
  </si>
  <si>
    <t>ІІ.2</t>
  </si>
  <si>
    <t>Створення АСКОЕ побутових споживачів</t>
  </si>
  <si>
    <t>ІІ.2.1</t>
  </si>
  <si>
    <t>Лічильник однофазний с функцією  PLC (Смарт)</t>
  </si>
  <si>
    <t>ІІ.2.2</t>
  </si>
  <si>
    <t>Лічильник трифазний с функцією PLC (Смарт)</t>
  </si>
  <si>
    <t>ІІ.2.3</t>
  </si>
  <si>
    <t>Шафа АСКОЕ "Побут-PLC" в комплекті з контролерами</t>
  </si>
  <si>
    <t>ІІ.3</t>
  </si>
  <si>
    <t>Закупівля обладнання під АСКОЕ</t>
  </si>
  <si>
    <t>ІІ.3.1</t>
  </si>
  <si>
    <t xml:space="preserve">Лічильник багатотарифний ( 2 інтерфейси RS485) </t>
  </si>
  <si>
    <t>ІІ.3.2</t>
  </si>
  <si>
    <t>Шафа АСКОЕ (наявність 8-ми незалежних портів RS485 для підключення лічильників)</t>
  </si>
  <si>
    <t>ІІ.4</t>
  </si>
  <si>
    <t>Модернізація лабораторії для перевірки комерційного обліку</t>
  </si>
  <si>
    <t>ІІ.4.1</t>
  </si>
  <si>
    <t>Зразковий переносний лічильник типу Zera</t>
  </si>
  <si>
    <t>Усього по розділу II:</t>
  </si>
  <si>
    <t>прибуток на виробничі інвестиції, за перетоки реактивної е/е</t>
  </si>
  <si>
    <t>III. Впровадження та розвиток АСДТК</t>
  </si>
  <si>
    <t>III.1</t>
  </si>
  <si>
    <t>Впровадження комплексy АСДTK  (ЦРП-2)</t>
  </si>
  <si>
    <t>III.2</t>
  </si>
  <si>
    <t>Облаштування диспетчерських центрів відеостендами</t>
  </si>
  <si>
    <t>III.3</t>
  </si>
  <si>
    <t>Розробку і впровадження системи управління аварійними і плановими відключеннями (OMS)</t>
  </si>
  <si>
    <t>III.4</t>
  </si>
  <si>
    <t xml:space="preserve"> "Технічне переоснащення трансформаторної підстанції 35/6 кВ  "Молзавод" (друга черга - телемеханіка.)</t>
  </si>
  <si>
    <t>Усього по розділу III:</t>
  </si>
  <si>
    <t>прибуток на виробничі інвестиції</t>
  </si>
  <si>
    <t>IV. Впровадження та розвиток інформаційних технологій</t>
  </si>
  <si>
    <t>ІV.1</t>
  </si>
  <si>
    <t>Модернізація існуючих та закупівля нових засобів комп'ютеризації, у т.ч.:</t>
  </si>
  <si>
    <t>IV.1.1</t>
  </si>
  <si>
    <t>Закупівля нових робочих станцій:</t>
  </si>
  <si>
    <t>IV.1.1.1</t>
  </si>
  <si>
    <t>Блок ПК</t>
  </si>
  <si>
    <t>IV.1.1.2</t>
  </si>
  <si>
    <t>Монітор 24</t>
  </si>
  <si>
    <t>IV.1.1.3</t>
  </si>
  <si>
    <t>IV.1.1.4</t>
  </si>
  <si>
    <t>Монітор 32</t>
  </si>
  <si>
    <t>IV.1.1.5</t>
  </si>
  <si>
    <t>Ноутбук</t>
  </si>
  <si>
    <t>IV.1.1.6</t>
  </si>
  <si>
    <t>Джерело безперебійного живлення</t>
  </si>
  <si>
    <t>IV.1.2</t>
  </si>
  <si>
    <t>Інші засоби комп'ютеризації</t>
  </si>
  <si>
    <t>IV.1.2.1</t>
  </si>
  <si>
    <t>МФУ А4 Лазерний</t>
  </si>
  <si>
    <t>IV.1.2.2</t>
  </si>
  <si>
    <t>МФУ А4 Лазерний color</t>
  </si>
  <si>
    <t>IV.1.2.3</t>
  </si>
  <si>
    <t>МФУ А3 Лазерний</t>
  </si>
  <si>
    <t>ІV.2</t>
  </si>
  <si>
    <t>Модернізація прикладного програмного забезпечення, у т.ч.:</t>
  </si>
  <si>
    <t>IV.2.1</t>
  </si>
  <si>
    <t xml:space="preserve">Розробка та впровадження модулю "Електронна черга" 
ПК  "Колл-центер "ПрАТ "ПЕЕМ ЦЕК" 
</t>
  </si>
  <si>
    <t>Усього по розділу IV:</t>
  </si>
  <si>
    <t>V. Впровадження та розвиток систем зв'язку</t>
  </si>
  <si>
    <t>V.1</t>
  </si>
  <si>
    <t xml:space="preserve"> Впровадження та розвиток систем зв'язку</t>
  </si>
  <si>
    <t>V.1.1</t>
  </si>
  <si>
    <t>IP телефон</t>
  </si>
  <si>
    <t>власні кошти</t>
  </si>
  <si>
    <t>Усього по розділу V:</t>
  </si>
  <si>
    <t>VI. Модернізація та закупівля колісної техніки</t>
  </si>
  <si>
    <t>VI.1</t>
  </si>
  <si>
    <t>Автогідропідіймач Модель  Comet 19 на базі Iveco Daily або аналог</t>
  </si>
  <si>
    <t>VI.2</t>
  </si>
  <si>
    <t>Бурильно - кранова установка БКУ-2МК-Т на базі трактора ХТА - 200 або аналог</t>
  </si>
  <si>
    <t>VI.3</t>
  </si>
  <si>
    <t>Renault Dokker, або аналог</t>
  </si>
  <si>
    <t>VI.4</t>
  </si>
  <si>
    <t>Ford Transit Custom Kombi 2.0D MT F320 L1H1 105 Trend</t>
  </si>
  <si>
    <t>Усього по розділу VI:</t>
  </si>
  <si>
    <t>VII. Інше</t>
  </si>
  <si>
    <t>VII.1</t>
  </si>
  <si>
    <t>Обладнання, що не вимагає монтажу</t>
  </si>
  <si>
    <t>VII.1.1</t>
  </si>
  <si>
    <t>Трасошукач С.А.Т.4 +&amp; Genny4, або аналог</t>
  </si>
  <si>
    <t>VII.1.2</t>
  </si>
  <si>
    <t>Кущоріз Husgvarna 555FX, або аналог</t>
  </si>
  <si>
    <t>VII.1.3</t>
  </si>
  <si>
    <t>Бензогенератор  HHY 7050F(5,5 КВТ), або аналог</t>
  </si>
  <si>
    <t>VII.1.4</t>
  </si>
  <si>
    <t>Пристрій для навантаження АВ типу УПА, або аналог</t>
  </si>
  <si>
    <t>VII.1.5</t>
  </si>
  <si>
    <t>Мобільна установка для випробування ізоляції підвищеною напругою ИМ-65Ц</t>
  </si>
  <si>
    <t>VII.1.6</t>
  </si>
  <si>
    <t>Генератор бензиновий KS 7000E ATS</t>
  </si>
  <si>
    <t>Усього по розділу VII:</t>
  </si>
  <si>
    <t>Усього по програмі:</t>
  </si>
  <si>
    <t>* Довжина ліній електропередачі вказується по трасі ліній.  (перевірено)</t>
  </si>
  <si>
    <t>Керівник ліцензіата                                         ___________________</t>
  </si>
  <si>
    <t>М.В. Корса</t>
  </si>
  <si>
    <t>(або особа, яка виконує його обов'язки)                       (підпис)</t>
  </si>
  <si>
    <t>(прізвище, ім'я, по батькові)</t>
  </si>
  <si>
    <t xml:space="preserve">  М. П. </t>
  </si>
  <si>
    <t>"____" ____________ 2021___ року</t>
  </si>
  <si>
    <t>І.1.2.5</t>
  </si>
  <si>
    <t>І.1.2.4.1</t>
  </si>
  <si>
    <t>І.1.2.4.1.1</t>
  </si>
  <si>
    <t>І.1.2.4.1.2</t>
  </si>
  <si>
    <t>І.1.2.4.1.3</t>
  </si>
  <si>
    <t>І.1.2.4.1.4</t>
  </si>
  <si>
    <t>І.1.2.4.1.5</t>
  </si>
  <si>
    <t>І.1.2.4.2</t>
  </si>
  <si>
    <t>І.1.2.4.2.1</t>
  </si>
  <si>
    <t>І.1.2.4.2.2</t>
  </si>
  <si>
    <t>І.1.2.4.2.3</t>
  </si>
  <si>
    <t>І.1.2.4.2.4</t>
  </si>
  <si>
    <t>І.1.2.4.2.5</t>
  </si>
  <si>
    <t>І.1.2.4.2.6</t>
  </si>
  <si>
    <t>І.1.2.4.2.7</t>
  </si>
  <si>
    <t>І.1.2.4.3.1</t>
  </si>
  <si>
    <t>І.1.2.4.3</t>
  </si>
  <si>
    <t>І.1.2.4.3.2</t>
  </si>
  <si>
    <t>І.1.2.4.3.3</t>
  </si>
  <si>
    <t>І.1.2.4.3.4</t>
  </si>
  <si>
    <t>І.1.2.4.3.5</t>
  </si>
  <si>
    <t>І.1.2.4.3.6</t>
  </si>
  <si>
    <t>І.1.2.4.3.7</t>
  </si>
  <si>
    <t>І.1.2.4.3.8</t>
  </si>
  <si>
    <t>І.1.2.4.3.9</t>
  </si>
  <si>
    <t>І.1.2.4.3.10</t>
  </si>
  <si>
    <t>І.1.2.4.3.11</t>
  </si>
  <si>
    <t>І.1.2.4.3.12</t>
  </si>
  <si>
    <t>І.1.2.4.3.13</t>
  </si>
  <si>
    <t>І.1.2.4.3.14</t>
  </si>
  <si>
    <t>І.1.2.4.3.15</t>
  </si>
  <si>
    <t>І.1.2.4.3.16</t>
  </si>
  <si>
    <t>І.1.2.4.3.17</t>
  </si>
  <si>
    <t>І.1.2.4.3.18</t>
  </si>
  <si>
    <t>І.1.2.4.3.19</t>
  </si>
  <si>
    <t>І.1.2.4.3.20</t>
  </si>
  <si>
    <t>І.1.2.4.3.21</t>
  </si>
  <si>
    <t>І.1.2.4.3.22</t>
  </si>
  <si>
    <t>І.1.2.4.3.23</t>
  </si>
  <si>
    <t>І.1.2.4.3.24</t>
  </si>
  <si>
    <t>І.1.2.4.3.25</t>
  </si>
  <si>
    <t>І.1.2.4.3.26</t>
  </si>
  <si>
    <t>І.1.2.4.3.27</t>
  </si>
  <si>
    <t>І.1.2.4.3.28</t>
  </si>
  <si>
    <t>І.1.2.4.3.29</t>
  </si>
  <si>
    <t>І.1.2.4.3.30</t>
  </si>
  <si>
    <t>І.1.2.4.3.31</t>
  </si>
  <si>
    <t>І.1.2.4.3.32</t>
  </si>
  <si>
    <t>І.1.2.4.3.33</t>
  </si>
  <si>
    <t>І.1.2.4.3.34</t>
  </si>
  <si>
    <t>І.1.2.4.3.35</t>
  </si>
  <si>
    <t>І.1.2.4.3.36</t>
  </si>
  <si>
    <t>І.1.2.4.3.37</t>
  </si>
  <si>
    <t>І.1.2.4.3.38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</si>
</sst>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0.000"/>
    <numFmt numFmtId="166" formatCode="0.0000"/>
    <numFmt numFmtId="167" formatCode="#,##0.00000"/>
    <numFmt numFmtId="168" formatCode="#,##0.00_ ;[Red]\-#,##0.00\ "/>
  </numFmts>
  <fonts count="34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i/>
      <sz val="20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20"/>
      <color indexed="16"/>
      <name val="Times New Roman"/>
      <family val="1"/>
      <charset val="204"/>
    </font>
    <font>
      <sz val="20"/>
      <color indexed="16"/>
      <name val="Times New Roman"/>
      <family val="1"/>
      <charset val="204"/>
    </font>
    <font>
      <sz val="10"/>
      <name val="Arial CE"/>
      <charset val="204"/>
    </font>
    <font>
      <u/>
      <sz val="20"/>
      <name val="Times New Roman"/>
      <family val="1"/>
      <charset val="204"/>
    </font>
    <font>
      <sz val="20"/>
      <name val="Arial Cyr"/>
      <charset val="204"/>
    </font>
    <font>
      <sz val="12"/>
      <name val="Times New Roman Cyr"/>
      <family val="1"/>
      <charset val="204"/>
    </font>
    <font>
      <sz val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9" fillId="0" borderId="0"/>
  </cellStyleXfs>
  <cellXfs count="322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1" fontId="8" fillId="3" borderId="4" xfId="2" applyNumberFormat="1" applyFont="1" applyFill="1" applyBorder="1" applyAlignment="1">
      <alignment horizontal="center" vertical="center" wrapText="1"/>
    </xf>
    <xf numFmtId="2" fontId="9" fillId="3" borderId="4" xfId="2" applyNumberFormat="1" applyFont="1" applyFill="1" applyBorder="1" applyAlignment="1">
      <alignment horizontal="left" vertical="center" wrapText="1"/>
    </xf>
    <xf numFmtId="4" fontId="9" fillId="3" borderId="4" xfId="2" applyNumberFormat="1" applyFont="1" applyFill="1" applyBorder="1" applyAlignment="1">
      <alignment horizontal="left" vertical="center" wrapText="1"/>
    </xf>
    <xf numFmtId="2" fontId="5" fillId="3" borderId="4" xfId="2" applyNumberFormat="1" applyFont="1" applyFill="1" applyBorder="1" applyAlignment="1">
      <alignment horizontal="left" vertical="center" wrapText="1"/>
    </xf>
    <xf numFmtId="4" fontId="9" fillId="3" borderId="4" xfId="2" applyNumberFormat="1" applyFont="1" applyFill="1" applyBorder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164" fontId="17" fillId="2" borderId="4" xfId="1" applyNumberFormat="1" applyFont="1" applyFill="1" applyBorder="1" applyAlignment="1">
      <alignment horizontal="center" vertical="center"/>
    </xf>
    <xf numFmtId="4" fontId="9" fillId="2" borderId="4" xfId="1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164" fontId="17" fillId="2" borderId="4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left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12" fillId="4" borderId="4" xfId="0" applyNumberFormat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 wrapText="1"/>
    </xf>
    <xf numFmtId="164" fontId="18" fillId="2" borderId="4" xfId="1" applyNumberFormat="1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164" fontId="19" fillId="2" borderId="4" xfId="1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2" fontId="9" fillId="2" borderId="4" xfId="1" applyNumberFormat="1" applyFont="1" applyFill="1" applyBorder="1" applyAlignment="1">
      <alignment horizontal="center" vertical="center"/>
    </xf>
    <xf numFmtId="2" fontId="9" fillId="3" borderId="4" xfId="2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2" fontId="5" fillId="3" borderId="4" xfId="2" applyNumberFormat="1" applyFont="1" applyFill="1" applyBorder="1" applyAlignment="1">
      <alignment vertical="center" wrapText="1"/>
    </xf>
    <xf numFmtId="4" fontId="9" fillId="3" borderId="4" xfId="2" quotePrefix="1" applyNumberFormat="1" applyFont="1" applyFill="1" applyBorder="1" applyAlignment="1">
      <alignment horizontal="center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2" fontId="5" fillId="2" borderId="4" xfId="2" applyNumberFormat="1" applyFont="1" applyFill="1" applyBorder="1" applyAlignment="1">
      <alignment vertical="center" wrapText="1"/>
    </xf>
    <xf numFmtId="2" fontId="5" fillId="2" borderId="4" xfId="2" applyNumberFormat="1" applyFont="1" applyFill="1" applyBorder="1" applyAlignment="1">
      <alignment horizontal="center" vertical="center" wrapText="1"/>
    </xf>
    <xf numFmtId="1" fontId="5" fillId="2" borderId="4" xfId="2" applyNumberFormat="1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/>
    </xf>
    <xf numFmtId="0" fontId="7" fillId="2" borderId="4" xfId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64" fontId="20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2" fontId="12" fillId="4" borderId="4" xfId="3" applyNumberFormat="1" applyFont="1" applyFill="1" applyBorder="1" applyAlignment="1">
      <alignment horizontal="left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" fontId="12" fillId="4" borderId="4" xfId="0" applyNumberFormat="1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left"/>
    </xf>
    <xf numFmtId="1" fontId="11" fillId="5" borderId="4" xfId="0" applyNumberFormat="1" applyFont="1" applyFill="1" applyBorder="1" applyAlignment="1">
      <alignment horizontal="center" vertical="center" wrapText="1"/>
    </xf>
    <xf numFmtId="2" fontId="22" fillId="5" borderId="4" xfId="3" applyNumberFormat="1" applyFont="1" applyFill="1" applyBorder="1" applyAlignment="1">
      <alignment horizontal="left" vertical="center" wrapText="1"/>
    </xf>
    <xf numFmtId="2" fontId="12" fillId="5" borderId="4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4" fontId="9" fillId="5" borderId="4" xfId="1" applyNumberFormat="1" applyFont="1" applyFill="1" applyBorder="1" applyAlignment="1">
      <alignment horizontal="center" vertical="center"/>
    </xf>
    <xf numFmtId="3" fontId="9" fillId="5" borderId="4" xfId="1" applyNumberFormat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left"/>
    </xf>
    <xf numFmtId="2" fontId="23" fillId="6" borderId="4" xfId="3" applyNumberFormat="1" applyFont="1" applyFill="1" applyBorder="1" applyAlignment="1">
      <alignment horizontal="left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/>
    </xf>
    <xf numFmtId="2" fontId="9" fillId="5" borderId="4" xfId="1" applyNumberFormat="1" applyFont="1" applyFill="1" applyBorder="1" applyAlignment="1">
      <alignment horizontal="center" vertical="center"/>
    </xf>
    <xf numFmtId="2" fontId="19" fillId="6" borderId="4" xfId="3" applyNumberFormat="1" applyFont="1" applyFill="1" applyBorder="1" applyAlignment="1">
      <alignment horizontal="left" vertical="center" wrapText="1"/>
    </xf>
    <xf numFmtId="4" fontId="24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" fontId="23" fillId="2" borderId="4" xfId="0" applyNumberFormat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/>
    </xf>
    <xf numFmtId="3" fontId="9" fillId="2" borderId="4" xfId="1" applyNumberFormat="1" applyFont="1" applyFill="1" applyBorder="1" applyAlignment="1">
      <alignment horizontal="center" vertical="center"/>
    </xf>
    <xf numFmtId="4" fontId="19" fillId="2" borderId="4" xfId="0" applyNumberFormat="1" applyFont="1" applyFill="1" applyBorder="1" applyAlignment="1">
      <alignment horizontal="center" vertical="center" wrapText="1"/>
    </xf>
    <xf numFmtId="164" fontId="20" fillId="2" borderId="4" xfId="1" applyNumberFormat="1" applyFont="1" applyFill="1" applyBorder="1" applyAlignment="1">
      <alignment horizontal="center" vertical="center"/>
    </xf>
    <xf numFmtId="4" fontId="19" fillId="2" borderId="4" xfId="1" applyNumberFormat="1" applyFont="1" applyFill="1" applyBorder="1" applyAlignment="1">
      <alignment horizontal="center" vertical="center"/>
    </xf>
    <xf numFmtId="166" fontId="12" fillId="3" borderId="4" xfId="0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vertical="center" wrapText="1"/>
    </xf>
    <xf numFmtId="164" fontId="20" fillId="2" borderId="4" xfId="1" applyNumberFormat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vertical="top" wrapText="1"/>
    </xf>
    <xf numFmtId="2" fontId="9" fillId="7" borderId="4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 vertical="center" wrapText="1"/>
    </xf>
    <xf numFmtId="164" fontId="25" fillId="7" borderId="4" xfId="0" applyNumberFormat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 wrapText="1"/>
    </xf>
    <xf numFmtId="0" fontId="15" fillId="7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/>
    </xf>
    <xf numFmtId="1" fontId="8" fillId="3" borderId="4" xfId="1" applyNumberFormat="1" applyFont="1" applyFill="1" applyBorder="1" applyAlignment="1">
      <alignment horizontal="center"/>
    </xf>
    <xf numFmtId="2" fontId="9" fillId="3" borderId="4" xfId="1" applyNumberFormat="1" applyFont="1" applyFill="1" applyBorder="1"/>
    <xf numFmtId="4" fontId="9" fillId="3" borderId="4" xfId="1" applyNumberFormat="1" applyFont="1" applyFill="1" applyBorder="1"/>
    <xf numFmtId="4" fontId="5" fillId="3" borderId="4" xfId="1" applyNumberFormat="1" applyFont="1" applyFill="1" applyBorder="1"/>
    <xf numFmtId="4" fontId="9" fillId="3" borderId="4" xfId="1" applyNumberFormat="1" applyFont="1" applyFill="1" applyBorder="1" applyAlignment="1">
      <alignment horizontal="center"/>
    </xf>
    <xf numFmtId="164" fontId="9" fillId="3" borderId="4" xfId="1" applyNumberFormat="1" applyFont="1" applyFill="1" applyBorder="1"/>
    <xf numFmtId="2" fontId="10" fillId="3" borderId="4" xfId="1" applyNumberFormat="1" applyFont="1" applyFill="1" applyBorder="1" applyAlignment="1">
      <alignment horizontal="center" vertical="center" wrapText="1"/>
    </xf>
    <xf numFmtId="2" fontId="10" fillId="3" borderId="4" xfId="1" applyNumberFormat="1" applyFont="1" applyFill="1" applyBorder="1" applyAlignment="1">
      <alignment horizontal="center"/>
    </xf>
    <xf numFmtId="2" fontId="10" fillId="3" borderId="4" xfId="1" applyNumberFormat="1" applyFont="1" applyFill="1" applyBorder="1"/>
    <xf numFmtId="2" fontId="9" fillId="8" borderId="4" xfId="1" applyNumberFormat="1" applyFont="1" applyFill="1" applyBorder="1" applyAlignment="1">
      <alignment horizontal="left" vertical="center" wrapText="1"/>
    </xf>
    <xf numFmtId="2" fontId="5" fillId="8" borderId="4" xfId="1" applyNumberFormat="1" applyFont="1" applyFill="1" applyBorder="1" applyAlignment="1">
      <alignment horizontal="center" vertical="center"/>
    </xf>
    <xf numFmtId="4" fontId="5" fillId="8" borderId="4" xfId="1" applyNumberFormat="1" applyFont="1" applyFill="1" applyBorder="1" applyAlignment="1">
      <alignment horizontal="center" vertical="center"/>
    </xf>
    <xf numFmtId="4" fontId="9" fillId="8" borderId="4" xfId="1" applyNumberFormat="1" applyFont="1" applyFill="1" applyBorder="1" applyAlignment="1">
      <alignment horizontal="center" vertical="center"/>
    </xf>
    <xf numFmtId="2" fontId="7" fillId="8" borderId="4" xfId="1" applyNumberFormat="1" applyFont="1" applyFill="1" applyBorder="1" applyAlignment="1">
      <alignment horizontal="center" vertical="center" wrapText="1"/>
    </xf>
    <xf numFmtId="2" fontId="7" fillId="8" borderId="4" xfId="1" applyNumberFormat="1" applyFont="1" applyFill="1" applyBorder="1" applyAlignment="1">
      <alignment horizontal="center" vertical="center"/>
    </xf>
    <xf numFmtId="2" fontId="7" fillId="8" borderId="4" xfId="1" applyNumberFormat="1" applyFont="1" applyFill="1" applyBorder="1" applyAlignment="1">
      <alignment horizontal="left"/>
    </xf>
    <xf numFmtId="2" fontId="5" fillId="2" borderId="4" xfId="1" applyNumberFormat="1" applyFont="1" applyFill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/>
    </xf>
    <xf numFmtId="2" fontId="7" fillId="2" borderId="4" xfId="1" applyNumberFormat="1" applyFont="1" applyFill="1" applyBorder="1" applyAlignment="1">
      <alignment horizontal="left"/>
    </xf>
    <xf numFmtId="4" fontId="9" fillId="0" borderId="4" xfId="1" applyNumberFormat="1" applyFont="1" applyBorder="1" applyAlignment="1">
      <alignment horizontal="center" vertical="center"/>
    </xf>
    <xf numFmtId="1" fontId="8" fillId="8" borderId="4" xfId="1" applyNumberFormat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3" fontId="9" fillId="8" borderId="4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 wrapText="1"/>
    </xf>
    <xf numFmtId="2" fontId="5" fillId="2" borderId="4" xfId="4" applyNumberFormat="1" applyFont="1" applyFill="1" applyBorder="1" applyAlignment="1">
      <alignment horizontal="left" vertical="center" wrapText="1"/>
    </xf>
    <xf numFmtId="2" fontId="5" fillId="2" borderId="4" xfId="4" applyNumberFormat="1" applyFont="1" applyFill="1" applyBorder="1" applyAlignment="1">
      <alignment horizontal="center" vertical="center" wrapText="1"/>
    </xf>
    <xf numFmtId="4" fontId="5" fillId="2" borderId="4" xfId="4" applyNumberFormat="1" applyFont="1" applyFill="1" applyBorder="1" applyAlignment="1">
      <alignment horizontal="center" vertical="center" wrapText="1"/>
    </xf>
    <xf numFmtId="164" fontId="26" fillId="2" borderId="4" xfId="1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vertical="center" wrapText="1"/>
    </xf>
    <xf numFmtId="0" fontId="15" fillId="2" borderId="4" xfId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 vertical="center" wrapText="1"/>
    </xf>
    <xf numFmtId="4" fontId="9" fillId="7" borderId="4" xfId="1" applyNumberFormat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1" fontId="8" fillId="3" borderId="4" xfId="1" applyNumberFormat="1" applyFont="1" applyFill="1" applyBorder="1" applyAlignment="1">
      <alignment horizontal="center" vertical="center"/>
    </xf>
    <xf numFmtId="2" fontId="9" fillId="3" borderId="4" xfId="1" applyNumberFormat="1" applyFont="1" applyFill="1" applyBorder="1" applyAlignment="1">
      <alignment horizontal="left" vertical="center" wrapText="1"/>
    </xf>
    <xf numFmtId="2" fontId="9" fillId="3" borderId="4" xfId="1" applyNumberFormat="1" applyFont="1" applyFill="1" applyBorder="1" applyAlignment="1">
      <alignment horizontal="center" vertical="center"/>
    </xf>
    <xf numFmtId="4" fontId="9" fillId="3" borderId="4" xfId="1" applyNumberFormat="1" applyFont="1" applyFill="1" applyBorder="1" applyAlignment="1">
      <alignment horizontal="center" vertical="center"/>
    </xf>
    <xf numFmtId="4" fontId="5" fillId="3" borderId="4" xfId="1" applyNumberFormat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/>
    </xf>
    <xf numFmtId="0" fontId="10" fillId="3" borderId="4" xfId="1" applyFont="1" applyFill="1" applyBorder="1"/>
    <xf numFmtId="1" fontId="4" fillId="8" borderId="4" xfId="1" applyNumberFormat="1" applyFont="1" applyFill="1" applyBorder="1" applyAlignment="1">
      <alignment horizontal="center" vertical="center"/>
    </xf>
    <xf numFmtId="2" fontId="5" fillId="8" borderId="4" xfId="1" applyNumberFormat="1" applyFont="1" applyFill="1" applyBorder="1" applyAlignment="1">
      <alignment horizontal="left" vertical="center" wrapText="1"/>
    </xf>
    <xf numFmtId="0" fontId="10" fillId="8" borderId="4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/>
    </xf>
    <xf numFmtId="0" fontId="10" fillId="8" borderId="4" xfId="1" applyFont="1" applyFill="1" applyBorder="1"/>
    <xf numFmtId="2" fontId="5" fillId="0" borderId="4" xfId="1" applyNumberFormat="1" applyFont="1" applyBorder="1" applyAlignment="1">
      <alignment horizontal="left" vertical="center" wrapText="1"/>
    </xf>
    <xf numFmtId="2" fontId="5" fillId="0" borderId="4" xfId="1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10" fillId="2" borderId="4" xfId="1" applyFont="1" applyFill="1" applyBorder="1"/>
    <xf numFmtId="0" fontId="3" fillId="0" borderId="4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3" fontId="5" fillId="8" borderId="4" xfId="1" applyNumberFormat="1" applyFont="1" applyFill="1" applyBorder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/>
    </xf>
    <xf numFmtId="4" fontId="5" fillId="0" borderId="4" xfId="1" applyNumberFormat="1" applyFont="1" applyBorder="1" applyAlignment="1">
      <alignment horizontal="center"/>
    </xf>
    <xf numFmtId="1" fontId="8" fillId="3" borderId="4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left" vertical="center" wrapText="1"/>
    </xf>
    <xf numFmtId="2" fontId="27" fillId="3" borderId="4" xfId="0" applyNumberFormat="1" applyFont="1" applyFill="1" applyBorder="1" applyAlignment="1">
      <alignment horizontal="center" vertical="center" wrapText="1"/>
    </xf>
    <xf numFmtId="4" fontId="24" fillId="3" borderId="4" xfId="0" applyNumberFormat="1" applyFont="1" applyFill="1" applyBorder="1" applyAlignment="1">
      <alignment horizontal="center" vertical="center" wrapText="1"/>
    </xf>
    <xf numFmtId="3" fontId="2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vertical="center" wrapText="1"/>
    </xf>
    <xf numFmtId="0" fontId="7" fillId="0" borderId="4" xfId="1" applyFont="1" applyBorder="1"/>
    <xf numFmtId="2" fontId="9" fillId="3" borderId="4" xfId="1" applyNumberFormat="1" applyFont="1" applyFill="1" applyBorder="1" applyAlignment="1">
      <alignment horizontal="left" vertical="center"/>
    </xf>
    <xf numFmtId="4" fontId="9" fillId="3" borderId="4" xfId="1" applyNumberFormat="1" applyFont="1" applyFill="1" applyBorder="1" applyAlignment="1">
      <alignment horizontal="left" vertical="center"/>
    </xf>
    <xf numFmtId="4" fontId="5" fillId="3" borderId="4" xfId="1" applyNumberFormat="1" applyFont="1" applyFill="1" applyBorder="1" applyAlignment="1">
      <alignment horizontal="left" vertical="center"/>
    </xf>
    <xf numFmtId="0" fontId="10" fillId="3" borderId="4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64" fontId="9" fillId="0" borderId="4" xfId="1" applyNumberFormat="1" applyFont="1" applyBorder="1"/>
    <xf numFmtId="4" fontId="9" fillId="0" borderId="4" xfId="1" applyNumberFormat="1" applyFont="1" applyBorder="1"/>
    <xf numFmtId="4" fontId="5" fillId="0" borderId="4" xfId="1" applyNumberFormat="1" applyFont="1" applyBorder="1"/>
    <xf numFmtId="0" fontId="7" fillId="0" borderId="4" xfId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 wrapText="1"/>
    </xf>
    <xf numFmtId="2" fontId="24" fillId="3" borderId="4" xfId="4" applyNumberFormat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horizontal="center" vertical="center"/>
    </xf>
    <xf numFmtId="1" fontId="4" fillId="2" borderId="4" xfId="4" applyNumberFormat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vertical="center" wrapText="1"/>
    </xf>
    <xf numFmtId="1" fontId="4" fillId="0" borderId="0" xfId="1" applyNumberFormat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5" fillId="0" borderId="4" xfId="1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2" fontId="5" fillId="0" borderId="4" xfId="4" applyNumberFormat="1" applyFont="1" applyFill="1" applyBorder="1" applyAlignment="1">
      <alignment horizontal="left" vertical="center" wrapText="1"/>
    </xf>
    <xf numFmtId="1" fontId="8" fillId="0" borderId="4" xfId="1" applyNumberFormat="1" applyFont="1" applyBorder="1"/>
    <xf numFmtId="0" fontId="9" fillId="0" borderId="4" xfId="1" applyFont="1" applyBorder="1"/>
    <xf numFmtId="0" fontId="5" fillId="0" borderId="4" xfId="1" applyFont="1" applyBorder="1"/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/>
    <xf numFmtId="0" fontId="7" fillId="4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" fontId="8" fillId="7" borderId="4" xfId="0" applyNumberFormat="1" applyFont="1" applyFill="1" applyBorder="1" applyAlignment="1">
      <alignment horizontal="center" vertical="center" wrapText="1"/>
    </xf>
    <xf numFmtId="2" fontId="9" fillId="7" borderId="4" xfId="0" applyNumberFormat="1" applyFont="1" applyFill="1" applyBorder="1" applyAlignment="1">
      <alignment vertical="center" wrapText="1"/>
    </xf>
    <xf numFmtId="2" fontId="9" fillId="0" borderId="4" xfId="1" applyNumberFormat="1" applyFont="1" applyBorder="1"/>
    <xf numFmtId="4" fontId="20" fillId="0" borderId="4" xfId="1" applyNumberFormat="1" applyFont="1" applyBorder="1"/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Border="1"/>
    <xf numFmtId="2" fontId="10" fillId="2" borderId="4" xfId="1" applyNumberFormat="1" applyFont="1" applyFill="1" applyBorder="1"/>
    <xf numFmtId="2" fontId="9" fillId="8" borderId="4" xfId="1" applyNumberFormat="1" applyFont="1" applyFill="1" applyBorder="1" applyAlignment="1">
      <alignment horizontal="center" vertical="center"/>
    </xf>
    <xf numFmtId="2" fontId="10" fillId="8" borderId="4" xfId="1" applyNumberFormat="1" applyFont="1" applyFill="1" applyBorder="1" applyAlignment="1">
      <alignment horizontal="center" vertical="center" wrapText="1"/>
    </xf>
    <xf numFmtId="2" fontId="10" fillId="8" borderId="4" xfId="1" applyNumberFormat="1" applyFont="1" applyFill="1" applyBorder="1" applyAlignment="1">
      <alignment horizontal="center" vertical="center"/>
    </xf>
    <xf numFmtId="2" fontId="10" fillId="8" borderId="4" xfId="1" applyNumberFormat="1" applyFont="1" applyFill="1" applyBorder="1" applyAlignment="1">
      <alignment horizontal="left"/>
    </xf>
    <xf numFmtId="1" fontId="8" fillId="7" borderId="4" xfId="1" applyNumberFormat="1" applyFont="1" applyFill="1" applyBorder="1" applyAlignment="1">
      <alignment vertical="center"/>
    </xf>
    <xf numFmtId="2" fontId="9" fillId="7" borderId="4" xfId="1" applyNumberFormat="1" applyFont="1" applyFill="1" applyBorder="1" applyAlignment="1">
      <alignment vertical="center"/>
    </xf>
    <xf numFmtId="4" fontId="9" fillId="7" borderId="4" xfId="1" applyNumberFormat="1" applyFont="1" applyFill="1" applyBorder="1" applyAlignment="1">
      <alignment vertical="center"/>
    </xf>
    <xf numFmtId="4" fontId="5" fillId="7" borderId="4" xfId="1" applyNumberFormat="1" applyFont="1" applyFill="1" applyBorder="1" applyAlignment="1">
      <alignment vertical="center"/>
    </xf>
    <xf numFmtId="2" fontId="7" fillId="7" borderId="4" xfId="1" applyNumberFormat="1" applyFont="1" applyFill="1" applyBorder="1" applyAlignment="1">
      <alignment horizontal="center" vertical="center" wrapText="1"/>
    </xf>
    <xf numFmtId="2" fontId="10" fillId="7" borderId="4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" fontId="6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31" fillId="0" borderId="0" xfId="1" applyFont="1" applyFill="1" applyAlignment="1">
      <alignment horizontal="center" vertical="center"/>
    </xf>
    <xf numFmtId="0" fontId="32" fillId="0" borderId="0" xfId="1" applyFont="1" applyFill="1"/>
    <xf numFmtId="0" fontId="6" fillId="0" borderId="0" xfId="1" applyFont="1" applyFill="1"/>
    <xf numFmtId="1" fontId="8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4" fontId="10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" fontId="10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 wrapText="1"/>
    </xf>
    <xf numFmtId="167" fontId="9" fillId="0" borderId="0" xfId="1" applyNumberFormat="1" applyFont="1" applyFill="1" applyAlignment="1">
      <alignment horizontal="center" vertical="center"/>
    </xf>
    <xf numFmtId="167" fontId="9" fillId="0" borderId="0" xfId="1" applyNumberFormat="1" applyFont="1" applyFill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" fontId="7" fillId="0" borderId="0" xfId="1" applyNumberFormat="1" applyFont="1" applyFill="1" applyAlignment="1">
      <alignment horizontal="center" vertical="center" wrapText="1"/>
    </xf>
    <xf numFmtId="168" fontId="7" fillId="0" borderId="0" xfId="1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167" fontId="5" fillId="0" borderId="0" xfId="1" applyNumberFormat="1" applyFont="1" applyFill="1" applyAlignment="1">
      <alignment horizontal="center" vertical="center" wrapText="1"/>
    </xf>
    <xf numFmtId="1" fontId="4" fillId="0" borderId="0" xfId="1" applyNumberFormat="1" applyFont="1" applyFill="1"/>
    <xf numFmtId="0" fontId="7" fillId="0" borderId="0" xfId="1" applyFont="1" applyFill="1"/>
    <xf numFmtId="0" fontId="5" fillId="0" borderId="0" xfId="1" applyFont="1" applyFill="1"/>
    <xf numFmtId="4" fontId="7" fillId="0" borderId="0" xfId="1" applyNumberFormat="1" applyFont="1" applyFill="1"/>
    <xf numFmtId="10" fontId="7" fillId="0" borderId="0" xfId="1" applyNumberFormat="1" applyFont="1" applyFill="1"/>
    <xf numFmtId="4" fontId="20" fillId="0" borderId="0" xfId="1" applyNumberFormat="1" applyFont="1" applyFill="1"/>
    <xf numFmtId="4" fontId="5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" fontId="25" fillId="0" borderId="0" xfId="1" applyNumberFormat="1" applyFont="1" applyFill="1" applyAlignment="1">
      <alignment horizontal="center" vertical="center" wrapText="1"/>
    </xf>
    <xf numFmtId="1" fontId="9" fillId="0" borderId="0" xfId="5" applyNumberFormat="1" applyFont="1" applyFill="1" applyAlignment="1" applyProtection="1">
      <alignment horizontal="left"/>
      <protection hidden="1"/>
    </xf>
    <xf numFmtId="0" fontId="9" fillId="0" borderId="0" xfId="5" applyFont="1" applyFill="1" applyAlignment="1" applyProtection="1">
      <alignment horizontal="left"/>
      <protection hidden="1"/>
    </xf>
    <xf numFmtId="164" fontId="5" fillId="0" borderId="0" xfId="1" applyNumberFormat="1" applyFont="1" applyFill="1" applyAlignment="1">
      <alignment horizontal="center" vertical="center" wrapText="1"/>
    </xf>
    <xf numFmtId="4" fontId="30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" fontId="5" fillId="0" borderId="0" xfId="5" applyNumberFormat="1" applyFont="1" applyFill="1" applyProtection="1">
      <protection hidden="1"/>
    </xf>
    <xf numFmtId="0" fontId="5" fillId="0" borderId="0" xfId="5" applyFont="1" applyFill="1" applyProtection="1">
      <protection hidden="1"/>
    </xf>
    <xf numFmtId="1" fontId="5" fillId="0" borderId="0" xfId="1" applyNumberFormat="1" applyFont="1" applyFill="1" applyAlignment="1">
      <alignment horizontal="center" vertical="center" wrapText="1"/>
    </xf>
    <xf numFmtId="0" fontId="5" fillId="0" borderId="0" xfId="5" applyFont="1" applyFill="1" applyAlignment="1" applyProtection="1">
      <alignment horizontal="left"/>
      <protection hidden="1"/>
    </xf>
    <xf numFmtId="1" fontId="4" fillId="0" borderId="0" xfId="5" applyNumberFormat="1" applyFont="1" applyFill="1" applyAlignment="1" applyProtection="1">
      <alignment horizontal="left" indent="3"/>
      <protection hidden="1"/>
    </xf>
    <xf numFmtId="0" fontId="7" fillId="0" borderId="0" xfId="5" applyFont="1" applyFill="1" applyAlignment="1" applyProtection="1">
      <alignment horizontal="left" indent="3"/>
      <protection hidden="1"/>
    </xf>
    <xf numFmtId="164" fontId="5" fillId="0" borderId="0" xfId="1" applyNumberFormat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 wrapText="1"/>
    </xf>
    <xf numFmtId="4" fontId="6" fillId="0" borderId="0" xfId="1" applyNumberFormat="1" applyFont="1" applyFill="1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 wrapText="1"/>
    </xf>
    <xf numFmtId="4" fontId="5" fillId="0" borderId="0" xfId="5" applyNumberFormat="1" applyFont="1" applyFill="1" applyAlignment="1" applyProtection="1">
      <alignment horizontal="left"/>
      <protection hidden="1"/>
    </xf>
    <xf numFmtId="0" fontId="6" fillId="2" borderId="4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</cellXfs>
  <cellStyles count="6">
    <cellStyle name="Iau?iue" xfId="1" xr:uid="{4901F01B-8532-44EB-AE80-03D0B4E6FD62}"/>
    <cellStyle name="Iau?iue_Копия Invest 2011Чернігівобленерго_16 поквартально  с изм. НКРЕ 2 2 2" xfId="2" xr:uid="{D6560CF9-DDEE-4883-8EA9-7A5F06BE5287}"/>
    <cellStyle name="Iau?iue_Проект IP-2012  ЦЕК після НКРЕ  xls " xfId="4" xr:uid="{7E1C5616-6155-4E21-9DE9-048B897578C5}"/>
    <cellStyle name="Обычный" xfId="0" builtinId="0"/>
    <cellStyle name="Обычный 2" xfId="3" xr:uid="{788B2720-1D35-49D7-9C07-A157606E1BEA}"/>
    <cellStyle name="Обычный_nkre1" xfId="5" xr:uid="{7EEAF5B7-EBCC-407D-AD0D-F686E6532A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A3C8C-A107-4D13-91E9-B39B73D853FE}">
  <sheetPr>
    <tabColor rgb="FFFFC000"/>
    <pageSetUpPr fitToPage="1"/>
  </sheetPr>
  <dimension ref="A1:S183"/>
  <sheetViews>
    <sheetView tabSelected="1" zoomScale="40" zoomScaleNormal="40" zoomScaleSheetLayoutView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" sqref="B2:B4"/>
    </sheetView>
  </sheetViews>
  <sheetFormatPr defaultRowHeight="26.25"/>
  <cols>
    <col min="1" max="1" width="17" style="220" customWidth="1"/>
    <col min="2" max="2" width="126.140625" style="2" customWidth="1"/>
    <col min="3" max="3" width="15.140625" style="223" customWidth="1"/>
    <col min="4" max="4" width="19" style="224" customWidth="1"/>
    <col min="5" max="5" width="18.85546875" style="2" customWidth="1"/>
    <col min="6" max="6" width="30.42578125" style="224" customWidth="1"/>
    <col min="7" max="7" width="19.7109375" style="222" customWidth="1"/>
    <col min="8" max="8" width="21.85546875" style="221" customWidth="1"/>
    <col min="9" max="9" width="17.42578125" style="221" customWidth="1"/>
    <col min="10" max="10" width="25.28515625" style="221" customWidth="1"/>
    <col min="11" max="11" width="19.5703125" style="221" customWidth="1"/>
    <col min="12" max="12" width="23.7109375" style="221" customWidth="1"/>
    <col min="13" max="13" width="17" style="221" customWidth="1"/>
    <col min="14" max="14" width="24" style="221" customWidth="1"/>
    <col min="15" max="15" width="17" style="2" customWidth="1"/>
    <col min="16" max="16" width="14" style="2" customWidth="1"/>
    <col min="17" max="17" width="9.7109375" style="2" customWidth="1"/>
    <col min="18" max="18" width="12" style="1" customWidth="1"/>
    <col min="19" max="19" width="12.42578125" style="1" customWidth="1"/>
    <col min="20" max="16384" width="9.140625" style="261"/>
  </cols>
  <sheetData>
    <row r="1" spans="1:19" ht="18.75">
      <c r="A1" s="316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8"/>
    </row>
    <row r="2" spans="1:19" s="262" customFormat="1">
      <c r="A2" s="319" t="s">
        <v>1</v>
      </c>
      <c r="B2" s="320" t="s">
        <v>2</v>
      </c>
      <c r="C2" s="315" t="s">
        <v>3</v>
      </c>
      <c r="D2" s="320" t="s">
        <v>4</v>
      </c>
      <c r="E2" s="320"/>
      <c r="F2" s="320"/>
      <c r="G2" s="314" t="s">
        <v>5</v>
      </c>
      <c r="H2" s="314"/>
      <c r="I2" s="314"/>
      <c r="J2" s="314"/>
      <c r="K2" s="314"/>
      <c r="L2" s="314"/>
      <c r="M2" s="314"/>
      <c r="N2" s="314"/>
      <c r="O2" s="321" t="s">
        <v>6</v>
      </c>
      <c r="P2" s="321" t="s">
        <v>7</v>
      </c>
      <c r="Q2" s="321" t="s">
        <v>8</v>
      </c>
      <c r="R2" s="313" t="s">
        <v>9</v>
      </c>
      <c r="S2" s="313" t="s">
        <v>10</v>
      </c>
    </row>
    <row r="3" spans="1:19" s="262" customFormat="1">
      <c r="A3" s="319"/>
      <c r="B3" s="320"/>
      <c r="C3" s="315"/>
      <c r="D3" s="314" t="s">
        <v>11</v>
      </c>
      <c r="E3" s="315" t="s">
        <v>12</v>
      </c>
      <c r="F3" s="314" t="s">
        <v>13</v>
      </c>
      <c r="G3" s="314" t="s">
        <v>14</v>
      </c>
      <c r="H3" s="314"/>
      <c r="I3" s="314" t="s">
        <v>15</v>
      </c>
      <c r="J3" s="314"/>
      <c r="K3" s="314" t="s">
        <v>16</v>
      </c>
      <c r="L3" s="314"/>
      <c r="M3" s="314" t="s">
        <v>17</v>
      </c>
      <c r="N3" s="314"/>
      <c r="O3" s="321"/>
      <c r="P3" s="321"/>
      <c r="Q3" s="321"/>
      <c r="R3" s="313"/>
      <c r="S3" s="313"/>
    </row>
    <row r="4" spans="1:19" s="262" customFormat="1" ht="52.5">
      <c r="A4" s="319"/>
      <c r="B4" s="320"/>
      <c r="C4" s="315"/>
      <c r="D4" s="314"/>
      <c r="E4" s="315"/>
      <c r="F4" s="314"/>
      <c r="G4" s="3" t="s">
        <v>18</v>
      </c>
      <c r="H4" s="4" t="s">
        <v>13</v>
      </c>
      <c r="I4" s="4" t="s">
        <v>18</v>
      </c>
      <c r="J4" s="4" t="s">
        <v>13</v>
      </c>
      <c r="K4" s="4" t="s">
        <v>18</v>
      </c>
      <c r="L4" s="4" t="s">
        <v>13</v>
      </c>
      <c r="M4" s="4" t="s">
        <v>18</v>
      </c>
      <c r="N4" s="4" t="s">
        <v>13</v>
      </c>
      <c r="O4" s="321"/>
      <c r="P4" s="321"/>
      <c r="Q4" s="321"/>
      <c r="R4" s="313"/>
      <c r="S4" s="313"/>
    </row>
    <row r="5" spans="1:19" s="263" customFormat="1" ht="20.25">
      <c r="A5" s="225">
        <v>1</v>
      </c>
      <c r="B5" s="225">
        <v>2</v>
      </c>
      <c r="C5" s="153">
        <v>3</v>
      </c>
      <c r="D5" s="225">
        <v>4</v>
      </c>
      <c r="E5" s="153">
        <v>5</v>
      </c>
      <c r="F5" s="225">
        <v>6</v>
      </c>
      <c r="G5" s="225">
        <v>7</v>
      </c>
      <c r="H5" s="225">
        <v>8</v>
      </c>
      <c r="I5" s="225">
        <v>9</v>
      </c>
      <c r="J5" s="225">
        <v>10</v>
      </c>
      <c r="K5" s="225">
        <v>11</v>
      </c>
      <c r="L5" s="225">
        <v>12</v>
      </c>
      <c r="M5" s="225">
        <v>13</v>
      </c>
      <c r="N5" s="225">
        <v>14</v>
      </c>
      <c r="O5" s="225">
        <v>15</v>
      </c>
      <c r="P5" s="225">
        <v>16</v>
      </c>
      <c r="Q5" s="225">
        <v>17</v>
      </c>
      <c r="R5" s="153">
        <v>18</v>
      </c>
      <c r="S5" s="153">
        <v>19</v>
      </c>
    </row>
    <row r="6" spans="1:19" s="262" customFormat="1">
      <c r="A6" s="236" t="s">
        <v>19</v>
      </c>
      <c r="B6" s="237"/>
      <c r="C6" s="237"/>
      <c r="D6" s="212"/>
      <c r="E6" s="238"/>
      <c r="F6" s="212"/>
      <c r="G6" s="211"/>
      <c r="H6" s="212"/>
      <c r="I6" s="212"/>
      <c r="J6" s="212"/>
      <c r="K6" s="212"/>
      <c r="L6" s="212"/>
      <c r="M6" s="212"/>
      <c r="N6" s="212"/>
      <c r="O6" s="239"/>
      <c r="P6" s="240"/>
      <c r="Q6" s="240"/>
      <c r="R6" s="184"/>
      <c r="S6" s="240"/>
    </row>
    <row r="7" spans="1:19" s="262" customFormat="1" ht="76.5">
      <c r="A7" s="5" t="s">
        <v>20</v>
      </c>
      <c r="B7" s="6" t="s">
        <v>21</v>
      </c>
      <c r="C7" s="6"/>
      <c r="D7" s="7"/>
      <c r="E7" s="8"/>
      <c r="F7" s="9">
        <f>F8+F33</f>
        <v>36301.986844700004</v>
      </c>
      <c r="G7" s="10"/>
      <c r="H7" s="9">
        <f>H8+H33</f>
        <v>4704.5933900000009</v>
      </c>
      <c r="I7" s="9"/>
      <c r="J7" s="9">
        <f>J8+J33</f>
        <v>6469.9436582000008</v>
      </c>
      <c r="K7" s="9"/>
      <c r="L7" s="9">
        <f>L8+L33</f>
        <v>6851.5559354999987</v>
      </c>
      <c r="M7" s="9"/>
      <c r="N7" s="9">
        <f>N8+N33</f>
        <v>18275.893861</v>
      </c>
      <c r="O7" s="11"/>
      <c r="P7" s="12"/>
      <c r="Q7" s="13"/>
      <c r="R7" s="12"/>
      <c r="S7" s="12"/>
    </row>
    <row r="8" spans="1:19" s="262" customFormat="1">
      <c r="A8" s="14" t="s">
        <v>22</v>
      </c>
      <c r="B8" s="15" t="s">
        <v>23</v>
      </c>
      <c r="C8" s="15"/>
      <c r="D8" s="16"/>
      <c r="E8" s="16"/>
      <c r="F8" s="17">
        <f>SUM(F9:F12)</f>
        <v>9929.3329200000007</v>
      </c>
      <c r="G8" s="18"/>
      <c r="H8" s="17">
        <f t="shared" ref="H8:N8" si="0">SUM(H9:H12)</f>
        <v>1266.6239700000001</v>
      </c>
      <c r="I8" s="17"/>
      <c r="J8" s="17">
        <f t="shared" si="0"/>
        <v>3727.9364300000007</v>
      </c>
      <c r="K8" s="17"/>
      <c r="L8" s="17">
        <f t="shared" si="0"/>
        <v>1605.4126000000001</v>
      </c>
      <c r="M8" s="17"/>
      <c r="N8" s="17">
        <f t="shared" si="0"/>
        <v>3329.3599199999999</v>
      </c>
      <c r="O8" s="19"/>
      <c r="P8" s="20"/>
      <c r="Q8" s="21"/>
      <c r="R8" s="22"/>
      <c r="S8" s="112"/>
    </row>
    <row r="9" spans="1:19" s="262" customFormat="1" ht="52.5">
      <c r="A9" s="23" t="s">
        <v>24</v>
      </c>
      <c r="B9" s="24" t="s">
        <v>25</v>
      </c>
      <c r="C9" s="25" t="s">
        <v>26</v>
      </c>
      <c r="D9" s="26">
        <f t="shared" ref="D9:D11" si="1">F9/E9</f>
        <v>2899.9464285714284</v>
      </c>
      <c r="E9" s="26">
        <v>5.6000000000000001E-2</v>
      </c>
      <c r="F9" s="27">
        <v>162.39699999999999</v>
      </c>
      <c r="G9" s="28"/>
      <c r="H9" s="29"/>
      <c r="I9" s="29"/>
      <c r="J9" s="30">
        <f>F9*0.5</f>
        <v>81.198499999999996</v>
      </c>
      <c r="K9" s="30">
        <f>E9</f>
        <v>5.6000000000000001E-2</v>
      </c>
      <c r="L9" s="30">
        <f>F9-J9</f>
        <v>81.198499999999996</v>
      </c>
      <c r="M9" s="31"/>
      <c r="N9" s="31"/>
      <c r="O9" s="32" t="s">
        <v>27</v>
      </c>
      <c r="P9" s="33"/>
      <c r="Q9" s="34"/>
      <c r="R9" s="33"/>
      <c r="S9" s="35"/>
    </row>
    <row r="10" spans="1:19" s="262" customFormat="1" ht="52.5">
      <c r="A10" s="23" t="s">
        <v>28</v>
      </c>
      <c r="B10" s="24" t="s">
        <v>29</v>
      </c>
      <c r="C10" s="25" t="s">
        <v>26</v>
      </c>
      <c r="D10" s="26">
        <f t="shared" si="1"/>
        <v>1621.7857142857142</v>
      </c>
      <c r="E10" s="36">
        <v>0.14000000000000001</v>
      </c>
      <c r="F10" s="27">
        <v>227.05</v>
      </c>
      <c r="G10" s="28"/>
      <c r="H10" s="29"/>
      <c r="I10" s="29"/>
      <c r="J10" s="30">
        <f>F10*0.5</f>
        <v>113.52500000000001</v>
      </c>
      <c r="K10" s="30">
        <f>E10</f>
        <v>0.14000000000000001</v>
      </c>
      <c r="L10" s="30">
        <f>F10-J10</f>
        <v>113.52500000000001</v>
      </c>
      <c r="M10" s="31"/>
      <c r="N10" s="31"/>
      <c r="O10" s="32" t="s">
        <v>27</v>
      </c>
      <c r="P10" s="33"/>
      <c r="Q10" s="34"/>
      <c r="R10" s="33"/>
      <c r="S10" s="35"/>
    </row>
    <row r="11" spans="1:19" s="262" customFormat="1" ht="78.75">
      <c r="A11" s="23" t="s">
        <v>30</v>
      </c>
      <c r="B11" s="24" t="s">
        <v>31</v>
      </c>
      <c r="C11" s="37" t="s">
        <v>32</v>
      </c>
      <c r="D11" s="26">
        <f t="shared" si="1"/>
        <v>4473.3900000000003</v>
      </c>
      <c r="E11" s="38">
        <v>1</v>
      </c>
      <c r="F11" s="27">
        <v>4473.3900000000003</v>
      </c>
      <c r="G11" s="39"/>
      <c r="H11" s="30"/>
      <c r="I11" s="29"/>
      <c r="J11" s="30">
        <f>F11*0.5</f>
        <v>2236.6950000000002</v>
      </c>
      <c r="K11" s="30"/>
      <c r="L11" s="30"/>
      <c r="M11" s="40">
        <v>1</v>
      </c>
      <c r="N11" s="30">
        <f>F11-J11</f>
        <v>2236.6950000000002</v>
      </c>
      <c r="O11" s="32" t="s">
        <v>27</v>
      </c>
      <c r="P11" s="33"/>
      <c r="Q11" s="34"/>
      <c r="R11" s="33"/>
      <c r="S11" s="35"/>
    </row>
    <row r="12" spans="1:19" s="262" customFormat="1" ht="25.5">
      <c r="A12" s="23" t="s">
        <v>33</v>
      </c>
      <c r="B12" s="41" t="s">
        <v>34</v>
      </c>
      <c r="C12" s="42" t="s">
        <v>26</v>
      </c>
      <c r="D12" s="43"/>
      <c r="E12" s="44">
        <f>SUM(E13:E32)</f>
        <v>11.657</v>
      </c>
      <c r="F12" s="45">
        <f>SUM(F13:F32)</f>
        <v>5066.4959200000003</v>
      </c>
      <c r="G12" s="42">
        <f>SUM(G13:G32)</f>
        <v>1.742</v>
      </c>
      <c r="H12" s="42">
        <f>SUM(H13:H32)</f>
        <v>1266.6239700000001</v>
      </c>
      <c r="I12" s="42">
        <f>SUM(I13:I32)</f>
        <v>2.4670000000000001</v>
      </c>
      <c r="J12" s="42">
        <f t="shared" ref="J12:L12" si="2">SUM(J13:J32)</f>
        <v>1296.5179300000002</v>
      </c>
      <c r="K12" s="42">
        <f>SUM(K13:K32)</f>
        <v>4.2840000000000007</v>
      </c>
      <c r="L12" s="42">
        <f t="shared" si="2"/>
        <v>1410.6891000000001</v>
      </c>
      <c r="M12" s="42">
        <f>SUM(M13:M32)</f>
        <v>3.1640000000000001</v>
      </c>
      <c r="N12" s="45">
        <f>F12-H12-J12-L12</f>
        <v>1092.6649199999997</v>
      </c>
      <c r="O12" s="46"/>
      <c r="P12" s="46"/>
      <c r="Q12" s="47"/>
      <c r="R12" s="46"/>
      <c r="S12" s="241"/>
    </row>
    <row r="13" spans="1:19" s="262" customFormat="1">
      <c r="A13" s="48" t="s">
        <v>35</v>
      </c>
      <c r="B13" s="24" t="s">
        <v>36</v>
      </c>
      <c r="C13" s="37" t="s">
        <v>26</v>
      </c>
      <c r="D13" s="27">
        <f>F13/E13</f>
        <v>429.29678188319429</v>
      </c>
      <c r="E13" s="37">
        <v>0.83899999999999997</v>
      </c>
      <c r="F13" s="27">
        <v>360.18</v>
      </c>
      <c r="G13" s="49"/>
      <c r="H13" s="30"/>
      <c r="I13" s="50"/>
      <c r="J13" s="27">
        <f>F13*0.6</f>
        <v>216.108</v>
      </c>
      <c r="K13" s="37">
        <f>E13</f>
        <v>0.83899999999999997</v>
      </c>
      <c r="L13" s="27">
        <f>F13-J13</f>
        <v>144.072</v>
      </c>
      <c r="M13" s="51"/>
      <c r="N13" s="30"/>
      <c r="O13" s="32"/>
      <c r="P13" s="33"/>
      <c r="Q13" s="34"/>
      <c r="R13" s="33"/>
      <c r="S13" s="35"/>
    </row>
    <row r="14" spans="1:19" s="262" customFormat="1">
      <c r="A14" s="48" t="s">
        <v>37</v>
      </c>
      <c r="B14" s="52" t="s">
        <v>38</v>
      </c>
      <c r="C14" s="53" t="s">
        <v>26</v>
      </c>
      <c r="D14" s="27">
        <f>F14/E14</f>
        <v>431.08626198083073</v>
      </c>
      <c r="E14" s="53">
        <v>0.93899999999999995</v>
      </c>
      <c r="F14" s="27">
        <v>404.79</v>
      </c>
      <c r="G14" s="54"/>
      <c r="H14" s="30"/>
      <c r="I14" s="55"/>
      <c r="J14" s="27">
        <f>404.79*0.5+6.03+0.0062-0.0003</f>
        <v>208.43090000000001</v>
      </c>
      <c r="K14" s="37">
        <f>E14</f>
        <v>0.93899999999999995</v>
      </c>
      <c r="L14" s="27">
        <f>404.79-J14</f>
        <v>196.35910000000001</v>
      </c>
      <c r="M14" s="51"/>
      <c r="N14" s="30"/>
      <c r="O14" s="32"/>
      <c r="P14" s="33"/>
      <c r="Q14" s="34"/>
      <c r="R14" s="33"/>
      <c r="S14" s="35"/>
    </row>
    <row r="15" spans="1:19" s="262" customFormat="1">
      <c r="A15" s="48" t="s">
        <v>39</v>
      </c>
      <c r="B15" s="24" t="s">
        <v>40</v>
      </c>
      <c r="C15" s="37" t="s">
        <v>26</v>
      </c>
      <c r="D15" s="27">
        <f>F15/E15</f>
        <v>527.76521172638434</v>
      </c>
      <c r="E15" s="37">
        <v>0.307</v>
      </c>
      <c r="F15" s="27">
        <v>162.02392</v>
      </c>
      <c r="G15" s="49"/>
      <c r="H15" s="30"/>
      <c r="I15" s="29"/>
      <c r="J15" s="27"/>
      <c r="K15" s="51"/>
      <c r="L15" s="30"/>
      <c r="M15" s="37">
        <v>0.307</v>
      </c>
      <c r="N15" s="27">
        <f>F15</f>
        <v>162.02392</v>
      </c>
      <c r="O15" s="32"/>
      <c r="P15" s="33"/>
      <c r="Q15" s="34"/>
      <c r="R15" s="33"/>
      <c r="S15" s="35"/>
    </row>
    <row r="16" spans="1:19" s="262" customFormat="1">
      <c r="A16" s="48" t="s">
        <v>41</v>
      </c>
      <c r="B16" s="24" t="s">
        <v>42</v>
      </c>
      <c r="C16" s="37" t="s">
        <v>26</v>
      </c>
      <c r="D16" s="27">
        <f t="shared" ref="D16:D26" si="3">F16/E16</f>
        <v>317.99635701275048</v>
      </c>
      <c r="E16" s="37">
        <v>1.0980000000000001</v>
      </c>
      <c r="F16" s="27">
        <v>349.16</v>
      </c>
      <c r="G16" s="49"/>
      <c r="H16" s="30"/>
      <c r="I16" s="29"/>
      <c r="J16" s="27">
        <f>F16*0.6</f>
        <v>209.49600000000001</v>
      </c>
      <c r="K16" s="37">
        <f>E16</f>
        <v>1.0980000000000001</v>
      </c>
      <c r="L16" s="27">
        <f>F16-J16</f>
        <v>139.66400000000002</v>
      </c>
      <c r="M16" s="51"/>
      <c r="N16" s="30"/>
      <c r="O16" s="32"/>
      <c r="P16" s="33"/>
      <c r="Q16" s="34"/>
      <c r="R16" s="33"/>
      <c r="S16" s="35"/>
    </row>
    <row r="17" spans="1:19" s="262" customFormat="1" ht="52.5">
      <c r="A17" s="48" t="s">
        <v>43</v>
      </c>
      <c r="B17" s="24" t="s">
        <v>44</v>
      </c>
      <c r="C17" s="56" t="s">
        <v>26</v>
      </c>
      <c r="D17" s="27">
        <f t="shared" si="3"/>
        <v>435.20744680851067</v>
      </c>
      <c r="E17" s="37">
        <v>0.188</v>
      </c>
      <c r="F17" s="27">
        <v>81.819000000000003</v>
      </c>
      <c r="G17" s="49"/>
      <c r="H17" s="30"/>
      <c r="I17" s="29"/>
      <c r="J17" s="30"/>
      <c r="K17" s="51"/>
      <c r="L17" s="30"/>
      <c r="M17" s="37">
        <v>0.188</v>
      </c>
      <c r="N17" s="27">
        <f>F17</f>
        <v>81.819000000000003</v>
      </c>
      <c r="O17" s="32"/>
      <c r="P17" s="33"/>
      <c r="Q17" s="34"/>
      <c r="R17" s="33"/>
      <c r="S17" s="35"/>
    </row>
    <row r="18" spans="1:19" s="262" customFormat="1" ht="52.5">
      <c r="A18" s="48" t="s">
        <v>45</v>
      </c>
      <c r="B18" s="24" t="s">
        <v>46</v>
      </c>
      <c r="C18" s="56" t="s">
        <v>26</v>
      </c>
      <c r="D18" s="27">
        <f t="shared" si="3"/>
        <v>607.21590909090912</v>
      </c>
      <c r="E18" s="37">
        <v>0.35199999999999998</v>
      </c>
      <c r="F18" s="27">
        <v>213.74</v>
      </c>
      <c r="G18" s="49"/>
      <c r="H18" s="30"/>
      <c r="I18" s="29"/>
      <c r="J18" s="27">
        <f>F18*0.6</f>
        <v>128.244</v>
      </c>
      <c r="K18" s="37">
        <f>E18</f>
        <v>0.35199999999999998</v>
      </c>
      <c r="L18" s="27">
        <f>F18-J18</f>
        <v>85.496000000000009</v>
      </c>
      <c r="M18" s="51"/>
      <c r="N18" s="30"/>
      <c r="O18" s="32"/>
      <c r="P18" s="33"/>
      <c r="Q18" s="34"/>
      <c r="R18" s="33"/>
      <c r="S18" s="35"/>
    </row>
    <row r="19" spans="1:19" s="262" customFormat="1" ht="52.5">
      <c r="A19" s="48" t="s">
        <v>47</v>
      </c>
      <c r="B19" s="24" t="s">
        <v>48</v>
      </c>
      <c r="C19" s="56" t="s">
        <v>26</v>
      </c>
      <c r="D19" s="27">
        <f t="shared" si="3"/>
        <v>339.70873786407765</v>
      </c>
      <c r="E19" s="37">
        <v>0.309</v>
      </c>
      <c r="F19" s="27">
        <v>104.97</v>
      </c>
      <c r="G19" s="49"/>
      <c r="H19" s="30"/>
      <c r="I19" s="29"/>
      <c r="J19" s="30"/>
      <c r="K19" s="51"/>
      <c r="L19" s="27">
        <f>F19*0.45</f>
        <v>47.236499999999999</v>
      </c>
      <c r="M19" s="37">
        <f>E19</f>
        <v>0.309</v>
      </c>
      <c r="N19" s="27">
        <f>F19-L19</f>
        <v>57.733499999999999</v>
      </c>
      <c r="O19" s="32"/>
      <c r="P19" s="33"/>
      <c r="Q19" s="34"/>
      <c r="R19" s="33"/>
      <c r="S19" s="35"/>
    </row>
    <row r="20" spans="1:19" s="262" customFormat="1" ht="52.5">
      <c r="A20" s="48" t="s">
        <v>49</v>
      </c>
      <c r="B20" s="24" t="s">
        <v>50</v>
      </c>
      <c r="C20" s="56" t="s">
        <v>26</v>
      </c>
      <c r="D20" s="27">
        <f t="shared" si="3"/>
        <v>713.05000000000007</v>
      </c>
      <c r="E20" s="37">
        <v>0.2</v>
      </c>
      <c r="F20" s="27">
        <v>142.61000000000001</v>
      </c>
      <c r="G20" s="49"/>
      <c r="H20" s="30"/>
      <c r="I20" s="29"/>
      <c r="J20" s="27"/>
      <c r="K20" s="51"/>
      <c r="L20" s="27">
        <f>F20*0.4</f>
        <v>57.044000000000011</v>
      </c>
      <c r="M20" s="37">
        <f t="shared" ref="M20:M21" si="4">E20</f>
        <v>0.2</v>
      </c>
      <c r="N20" s="27">
        <f>F20-L20</f>
        <v>85.566000000000003</v>
      </c>
      <c r="O20" s="32"/>
      <c r="P20" s="33"/>
      <c r="Q20" s="34"/>
      <c r="R20" s="33"/>
      <c r="S20" s="35"/>
    </row>
    <row r="21" spans="1:19" s="262" customFormat="1" ht="52.5">
      <c r="A21" s="48" t="s">
        <v>51</v>
      </c>
      <c r="B21" s="52" t="s">
        <v>52</v>
      </c>
      <c r="C21" s="56" t="s">
        <v>26</v>
      </c>
      <c r="D21" s="27">
        <f t="shared" si="3"/>
        <v>492.61904761904765</v>
      </c>
      <c r="E21" s="53">
        <v>0.54600000000000004</v>
      </c>
      <c r="F21" s="27">
        <v>268.97000000000003</v>
      </c>
      <c r="G21" s="49"/>
      <c r="H21" s="30"/>
      <c r="I21" s="29"/>
      <c r="J21" s="30"/>
      <c r="K21" s="51"/>
      <c r="L21" s="27">
        <f>268.97*0.45-0.8</f>
        <v>120.23650000000002</v>
      </c>
      <c r="M21" s="37">
        <f t="shared" si="4"/>
        <v>0.54600000000000004</v>
      </c>
      <c r="N21" s="27">
        <f>268.97-L21</f>
        <v>148.73349999999999</v>
      </c>
      <c r="O21" s="32"/>
      <c r="P21" s="33"/>
      <c r="Q21" s="34"/>
      <c r="R21" s="33"/>
      <c r="S21" s="35"/>
    </row>
    <row r="22" spans="1:19" s="262" customFormat="1" ht="52.5">
      <c r="A22" s="48" t="s">
        <v>53</v>
      </c>
      <c r="B22" s="52" t="s">
        <v>54</v>
      </c>
      <c r="C22" s="56" t="s">
        <v>26</v>
      </c>
      <c r="D22" s="27">
        <f t="shared" si="3"/>
        <v>308.75991649269309</v>
      </c>
      <c r="E22" s="53">
        <v>0.95799999999999996</v>
      </c>
      <c r="F22" s="27">
        <v>295.79199999999997</v>
      </c>
      <c r="G22" s="49"/>
      <c r="H22" s="27">
        <f>295.792*0.5-5.42+0.0031+0.004+0.0004-0.00003</f>
        <v>142.48346999999998</v>
      </c>
      <c r="I22" s="53">
        <f>E22</f>
        <v>0.95799999999999996</v>
      </c>
      <c r="J22" s="27">
        <f>295.792-H22</f>
        <v>153.30852999999999</v>
      </c>
      <c r="K22" s="51"/>
      <c r="L22" s="30"/>
      <c r="M22" s="51"/>
      <c r="N22" s="30"/>
      <c r="O22" s="32"/>
      <c r="P22" s="33"/>
      <c r="Q22" s="34"/>
      <c r="R22" s="33"/>
      <c r="S22" s="35"/>
    </row>
    <row r="23" spans="1:19" s="262" customFormat="1" ht="52.5">
      <c r="A23" s="48" t="s">
        <v>55</v>
      </c>
      <c r="B23" s="24" t="s">
        <v>56</v>
      </c>
      <c r="C23" s="56" t="s">
        <v>26</v>
      </c>
      <c r="D23" s="27">
        <f t="shared" si="3"/>
        <v>432.58252427184465</v>
      </c>
      <c r="E23" s="37">
        <v>0.51500000000000001</v>
      </c>
      <c r="F23" s="27">
        <v>222.78</v>
      </c>
      <c r="G23" s="50"/>
      <c r="H23" s="27">
        <f>F23*0.5</f>
        <v>111.39</v>
      </c>
      <c r="I23" s="53">
        <f t="shared" ref="I23:I24" si="5">E23</f>
        <v>0.51500000000000001</v>
      </c>
      <c r="J23" s="27">
        <f>F23-H23</f>
        <v>111.39</v>
      </c>
      <c r="K23" s="51"/>
      <c r="L23" s="30"/>
      <c r="M23" s="51"/>
      <c r="N23" s="30"/>
      <c r="O23" s="32"/>
      <c r="P23" s="33"/>
      <c r="Q23" s="34"/>
      <c r="R23" s="33"/>
      <c r="S23" s="35"/>
    </row>
    <row r="24" spans="1:19" s="262" customFormat="1">
      <c r="A24" s="48" t="s">
        <v>57</v>
      </c>
      <c r="B24" s="24" t="s">
        <v>58</v>
      </c>
      <c r="C24" s="37" t="s">
        <v>26</v>
      </c>
      <c r="D24" s="27">
        <f t="shared" si="3"/>
        <v>474.91775700934573</v>
      </c>
      <c r="E24" s="37">
        <v>0.53500000000000003</v>
      </c>
      <c r="F24" s="27">
        <v>254.08099999999999</v>
      </c>
      <c r="G24" s="50"/>
      <c r="H24" s="27">
        <f>F24*0.5</f>
        <v>127.04049999999999</v>
      </c>
      <c r="I24" s="53">
        <f t="shared" si="5"/>
        <v>0.53500000000000003</v>
      </c>
      <c r="J24" s="27">
        <f>F24-H24</f>
        <v>127.04049999999999</v>
      </c>
      <c r="K24" s="51"/>
      <c r="L24" s="30"/>
      <c r="M24" s="51"/>
      <c r="N24" s="30"/>
      <c r="O24" s="32"/>
      <c r="P24" s="33"/>
      <c r="Q24" s="34"/>
      <c r="R24" s="33"/>
      <c r="S24" s="35"/>
    </row>
    <row r="25" spans="1:19" s="262" customFormat="1">
      <c r="A25" s="48" t="s">
        <v>59</v>
      </c>
      <c r="B25" s="52" t="s">
        <v>60</v>
      </c>
      <c r="C25" s="56" t="s">
        <v>26</v>
      </c>
      <c r="D25" s="27">
        <f t="shared" si="3"/>
        <v>525.78680203045678</v>
      </c>
      <c r="E25" s="53">
        <v>0.39400000000000002</v>
      </c>
      <c r="F25" s="27">
        <v>207.16</v>
      </c>
      <c r="G25" s="49"/>
      <c r="H25" s="30"/>
      <c r="I25" s="57"/>
      <c r="J25" s="30"/>
      <c r="K25" s="51"/>
      <c r="L25" s="27">
        <f>F25*0.5</f>
        <v>103.58</v>
      </c>
      <c r="M25" s="53">
        <f>E25</f>
        <v>0.39400000000000002</v>
      </c>
      <c r="N25" s="27">
        <f>F25-L25</f>
        <v>103.58</v>
      </c>
      <c r="O25" s="32"/>
      <c r="P25" s="33"/>
      <c r="Q25" s="34"/>
      <c r="R25" s="33"/>
      <c r="S25" s="35"/>
    </row>
    <row r="26" spans="1:19" s="262" customFormat="1">
      <c r="A26" s="48" t="s">
        <v>61</v>
      </c>
      <c r="B26" s="24" t="s">
        <v>62</v>
      </c>
      <c r="C26" s="56" t="s">
        <v>26</v>
      </c>
      <c r="D26" s="27">
        <f t="shared" si="3"/>
        <v>536.14285714285722</v>
      </c>
      <c r="E26" s="37">
        <v>0.21</v>
      </c>
      <c r="F26" s="27">
        <v>112.59</v>
      </c>
      <c r="G26" s="49"/>
      <c r="H26" s="30"/>
      <c r="I26" s="57"/>
      <c r="J26" s="30"/>
      <c r="K26" s="51"/>
      <c r="L26" s="30"/>
      <c r="M26" s="53">
        <f>E26</f>
        <v>0.21</v>
      </c>
      <c r="N26" s="27">
        <f>F26</f>
        <v>112.59</v>
      </c>
      <c r="O26" s="32"/>
      <c r="P26" s="33"/>
      <c r="Q26" s="34"/>
      <c r="R26" s="33"/>
      <c r="S26" s="35"/>
    </row>
    <row r="27" spans="1:19" s="262" customFormat="1">
      <c r="A27" s="48" t="s">
        <v>63</v>
      </c>
      <c r="B27" s="24" t="s">
        <v>64</v>
      </c>
      <c r="C27" s="56" t="s">
        <v>26</v>
      </c>
      <c r="D27" s="27">
        <f>F27/E27</f>
        <v>517.42919389978215</v>
      </c>
      <c r="E27" s="37">
        <v>0.45900000000000002</v>
      </c>
      <c r="F27" s="27">
        <v>237.5</v>
      </c>
      <c r="G27" s="28"/>
      <c r="H27" s="27">
        <f>F27*0.4</f>
        <v>95</v>
      </c>
      <c r="I27" s="37">
        <f>E27</f>
        <v>0.45900000000000002</v>
      </c>
      <c r="J27" s="27">
        <f>F27-H27</f>
        <v>142.5</v>
      </c>
      <c r="K27" s="51"/>
      <c r="L27" s="30"/>
      <c r="M27" s="53"/>
      <c r="N27" s="30"/>
      <c r="O27" s="32"/>
      <c r="P27" s="33"/>
      <c r="Q27" s="34"/>
      <c r="R27" s="33"/>
      <c r="S27" s="35"/>
    </row>
    <row r="28" spans="1:19" s="262" customFormat="1">
      <c r="A28" s="48" t="s">
        <v>65</v>
      </c>
      <c r="B28" s="24" t="s">
        <v>66</v>
      </c>
      <c r="C28" s="56" t="s">
        <v>26</v>
      </c>
      <c r="D28" s="27">
        <f>F28/E28</f>
        <v>549.34508816120911</v>
      </c>
      <c r="E28" s="37">
        <v>0.39700000000000002</v>
      </c>
      <c r="F28" s="27">
        <v>218.09</v>
      </c>
      <c r="G28" s="49"/>
      <c r="H28" s="27"/>
      <c r="I28" s="29"/>
      <c r="J28" s="27"/>
      <c r="K28" s="51"/>
      <c r="L28" s="30"/>
      <c r="M28" s="53">
        <f t="shared" ref="M28:M31" si="6">E28</f>
        <v>0.39700000000000002</v>
      </c>
      <c r="N28" s="27">
        <f>F28</f>
        <v>218.09</v>
      </c>
      <c r="O28" s="32"/>
      <c r="P28" s="33"/>
      <c r="Q28" s="34"/>
      <c r="R28" s="33"/>
      <c r="S28" s="35"/>
    </row>
    <row r="29" spans="1:19" s="262" customFormat="1">
      <c r="A29" s="48" t="s">
        <v>67</v>
      </c>
      <c r="B29" s="24" t="s">
        <v>68</v>
      </c>
      <c r="C29" s="56" t="s">
        <v>26</v>
      </c>
      <c r="D29" s="27">
        <f>F29/E29</f>
        <v>424.89302325581394</v>
      </c>
      <c r="E29" s="37">
        <v>1.075</v>
      </c>
      <c r="F29" s="27">
        <v>456.76</v>
      </c>
      <c r="G29" s="37">
        <f>E29</f>
        <v>1.075</v>
      </c>
      <c r="H29" s="27">
        <f>F29</f>
        <v>456.76</v>
      </c>
      <c r="I29" s="29"/>
      <c r="J29" s="30"/>
      <c r="K29" s="51"/>
      <c r="L29" s="30"/>
      <c r="M29" s="53"/>
      <c r="N29" s="30"/>
      <c r="O29" s="32"/>
      <c r="P29" s="33"/>
      <c r="Q29" s="34"/>
      <c r="R29" s="33"/>
      <c r="S29" s="35"/>
    </row>
    <row r="30" spans="1:19" s="262" customFormat="1">
      <c r="A30" s="48" t="s">
        <v>69</v>
      </c>
      <c r="B30" s="24" t="s">
        <v>70</v>
      </c>
      <c r="C30" s="56" t="s">
        <v>26</v>
      </c>
      <c r="D30" s="27">
        <f>F30/E30</f>
        <v>500.67466266866563</v>
      </c>
      <c r="E30" s="37">
        <v>0.66700000000000004</v>
      </c>
      <c r="F30" s="27">
        <v>333.95</v>
      </c>
      <c r="G30" s="37">
        <f>E30</f>
        <v>0.66700000000000004</v>
      </c>
      <c r="H30" s="27">
        <f>F30</f>
        <v>333.95</v>
      </c>
      <c r="I30" s="29"/>
      <c r="J30" s="30"/>
      <c r="K30" s="51"/>
      <c r="L30" s="30"/>
      <c r="M30" s="53"/>
      <c r="N30" s="30"/>
      <c r="O30" s="32"/>
      <c r="P30" s="33"/>
      <c r="Q30" s="34"/>
      <c r="R30" s="33"/>
      <c r="S30" s="35"/>
    </row>
    <row r="31" spans="1:19" s="262" customFormat="1">
      <c r="A31" s="48" t="s">
        <v>71</v>
      </c>
      <c r="B31" s="24" t="s">
        <v>72</v>
      </c>
      <c r="C31" s="56" t="s">
        <v>26</v>
      </c>
      <c r="D31" s="27">
        <f t="shared" ref="D31" si="7">F31/E31</f>
        <v>363.42577487765089</v>
      </c>
      <c r="E31" s="37">
        <v>0.61299999999999999</v>
      </c>
      <c r="F31" s="27">
        <v>222.78</v>
      </c>
      <c r="G31" s="49"/>
      <c r="H31" s="30"/>
      <c r="I31" s="29"/>
      <c r="J31" s="30"/>
      <c r="K31" s="51"/>
      <c r="L31" s="27">
        <f>F31*0.45</f>
        <v>100.251</v>
      </c>
      <c r="M31" s="53">
        <f t="shared" si="6"/>
        <v>0.61299999999999999</v>
      </c>
      <c r="N31" s="27">
        <f>F31-L31</f>
        <v>122.529</v>
      </c>
      <c r="O31" s="32"/>
      <c r="P31" s="33"/>
      <c r="Q31" s="34"/>
      <c r="R31" s="33"/>
      <c r="S31" s="35"/>
    </row>
    <row r="32" spans="1:19" s="262" customFormat="1">
      <c r="A32" s="48" t="s">
        <v>73</v>
      </c>
      <c r="B32" s="24" t="s">
        <v>74</v>
      </c>
      <c r="C32" s="56" t="s">
        <v>26</v>
      </c>
      <c r="D32" s="27">
        <f>F32/E32</f>
        <v>394.64962121212119</v>
      </c>
      <c r="E32" s="37">
        <v>1.056</v>
      </c>
      <c r="F32" s="27">
        <v>416.75</v>
      </c>
      <c r="G32" s="49"/>
      <c r="H32" s="30"/>
      <c r="I32" s="29"/>
      <c r="J32" s="30"/>
      <c r="K32" s="37">
        <f>E32</f>
        <v>1.056</v>
      </c>
      <c r="L32" s="27">
        <f>F32</f>
        <v>416.75</v>
      </c>
      <c r="M32" s="51"/>
      <c r="N32" s="30"/>
      <c r="O32" s="32"/>
      <c r="P32" s="33"/>
      <c r="Q32" s="34"/>
      <c r="R32" s="33"/>
      <c r="S32" s="35"/>
    </row>
    <row r="33" spans="1:19" s="262" customFormat="1">
      <c r="A33" s="5" t="s">
        <v>75</v>
      </c>
      <c r="B33" s="58" t="s">
        <v>76</v>
      </c>
      <c r="C33" s="58"/>
      <c r="D33" s="59"/>
      <c r="E33" s="60"/>
      <c r="F33" s="61">
        <f>SUM(F34:F37)</f>
        <v>26372.6539247</v>
      </c>
      <c r="G33" s="9"/>
      <c r="H33" s="9">
        <f>H34+H36+H35+H37</f>
        <v>3437.9694200000008</v>
      </c>
      <c r="I33" s="9"/>
      <c r="J33" s="9">
        <f>J34+J36+J35+J37</f>
        <v>2742.0072282000001</v>
      </c>
      <c r="K33" s="9"/>
      <c r="L33" s="9">
        <f>L34+L36+L35+L37</f>
        <v>5246.143335499999</v>
      </c>
      <c r="M33" s="9"/>
      <c r="N33" s="9">
        <f>N34+N36+N35+N37+N91</f>
        <v>14946.533941000002</v>
      </c>
      <c r="O33" s="11"/>
      <c r="P33" s="12"/>
      <c r="Q33" s="13"/>
      <c r="R33" s="12"/>
      <c r="S33" s="12"/>
    </row>
    <row r="34" spans="1:19" s="262" customFormat="1" ht="78.75">
      <c r="A34" s="62" t="s">
        <v>77</v>
      </c>
      <c r="B34" s="63" t="s">
        <v>78</v>
      </c>
      <c r="C34" s="64" t="s">
        <v>32</v>
      </c>
      <c r="D34" s="27">
        <f>F34/E34</f>
        <v>5520.4530000000004</v>
      </c>
      <c r="E34" s="65">
        <v>1</v>
      </c>
      <c r="F34" s="66">
        <v>5520.4530000000004</v>
      </c>
      <c r="G34" s="67"/>
      <c r="H34" s="66">
        <f>F34*0.62+15.2896-0.00044-0.0006</f>
        <v>3437.9694200000008</v>
      </c>
      <c r="I34" s="66"/>
      <c r="J34" s="66"/>
      <c r="K34" s="68">
        <v>1</v>
      </c>
      <c r="L34" s="66">
        <f>F34-H34</f>
        <v>2082.4835799999996</v>
      </c>
      <c r="M34" s="66"/>
      <c r="N34" s="66"/>
      <c r="O34" s="35" t="s">
        <v>79</v>
      </c>
      <c r="P34" s="69"/>
      <c r="Q34" s="70"/>
      <c r="R34" s="69"/>
      <c r="S34" s="69"/>
    </row>
    <row r="35" spans="1:19" s="262" customFormat="1" ht="52.5">
      <c r="A35" s="62" t="s">
        <v>80</v>
      </c>
      <c r="B35" s="226" t="s">
        <v>84</v>
      </c>
      <c r="C35" s="53" t="s">
        <v>82</v>
      </c>
      <c r="D35" s="27">
        <v>3693.73</v>
      </c>
      <c r="E35" s="71">
        <v>1</v>
      </c>
      <c r="F35" s="27">
        <v>3693.73</v>
      </c>
      <c r="G35" s="73"/>
      <c r="H35" s="30"/>
      <c r="I35" s="30"/>
      <c r="J35" s="30"/>
      <c r="K35" s="66"/>
      <c r="L35" s="66"/>
      <c r="M35" s="40">
        <v>1</v>
      </c>
      <c r="N35" s="30">
        <f>F35-J35-L35</f>
        <v>3693.73</v>
      </c>
      <c r="O35" s="35" t="s">
        <v>27</v>
      </c>
      <c r="P35" s="35"/>
      <c r="Q35" s="70"/>
      <c r="R35" s="69"/>
      <c r="S35" s="69"/>
    </row>
    <row r="36" spans="1:19" s="262" customFormat="1" ht="52.5">
      <c r="A36" s="62" t="s">
        <v>83</v>
      </c>
      <c r="B36" s="226" t="s">
        <v>81</v>
      </c>
      <c r="C36" s="53" t="s">
        <v>82</v>
      </c>
      <c r="D36" s="27">
        <v>4296.46</v>
      </c>
      <c r="E36" s="71">
        <v>1</v>
      </c>
      <c r="F36" s="27">
        <v>4296.46</v>
      </c>
      <c r="G36" s="72"/>
      <c r="H36" s="30"/>
      <c r="I36" s="30"/>
      <c r="J36" s="30"/>
      <c r="K36" s="66"/>
      <c r="L36" s="66"/>
      <c r="M36" s="40">
        <v>1</v>
      </c>
      <c r="N36" s="30">
        <f>F36-J36-L36</f>
        <v>4296.46</v>
      </c>
      <c r="O36" s="35" t="s">
        <v>27</v>
      </c>
      <c r="P36" s="35"/>
      <c r="Q36" s="70"/>
      <c r="R36" s="69"/>
      <c r="S36" s="69"/>
    </row>
    <row r="37" spans="1:19" s="264" customFormat="1" ht="51">
      <c r="A37" s="62" t="s">
        <v>85</v>
      </c>
      <c r="B37" s="74" t="s">
        <v>87</v>
      </c>
      <c r="C37" s="42" t="s">
        <v>82</v>
      </c>
      <c r="D37" s="75"/>
      <c r="E37" s="76">
        <f t="shared" ref="E37:N37" si="8">E38+E44+E52</f>
        <v>50</v>
      </c>
      <c r="F37" s="45">
        <f>F38+F44+F52</f>
        <v>12862.0109247</v>
      </c>
      <c r="G37" s="77">
        <f t="shared" si="8"/>
        <v>0</v>
      </c>
      <c r="H37" s="45">
        <f t="shared" si="8"/>
        <v>0</v>
      </c>
      <c r="I37" s="77">
        <f t="shared" si="8"/>
        <v>7</v>
      </c>
      <c r="J37" s="45">
        <f t="shared" si="8"/>
        <v>2742.0072282000001</v>
      </c>
      <c r="K37" s="77">
        <f t="shared" si="8"/>
        <v>16</v>
      </c>
      <c r="L37" s="42">
        <f t="shared" si="8"/>
        <v>3163.6597554999998</v>
      </c>
      <c r="M37" s="77">
        <f t="shared" si="8"/>
        <v>27</v>
      </c>
      <c r="N37" s="45">
        <f t="shared" si="8"/>
        <v>5062.3439410000001</v>
      </c>
      <c r="O37" s="78" t="s">
        <v>27</v>
      </c>
      <c r="P37" s="78"/>
      <c r="Q37" s="79"/>
      <c r="R37" s="80"/>
      <c r="S37" s="80"/>
    </row>
    <row r="38" spans="1:19" s="264" customFormat="1" ht="51">
      <c r="A38" s="81" t="s">
        <v>292</v>
      </c>
      <c r="B38" s="82" t="s">
        <v>88</v>
      </c>
      <c r="C38" s="83" t="s">
        <v>82</v>
      </c>
      <c r="D38" s="84"/>
      <c r="E38" s="85">
        <f>E39+E40+E41+E42+E43</f>
        <v>5</v>
      </c>
      <c r="F38" s="86">
        <f>SUM(F39:F43)</f>
        <v>1326.6542947000003</v>
      </c>
      <c r="G38" s="87">
        <f t="shared" ref="G38:H38" si="9">G39+G40+G41+G42+G43</f>
        <v>0</v>
      </c>
      <c r="H38" s="86">
        <f t="shared" si="9"/>
        <v>0</v>
      </c>
      <c r="I38" s="87">
        <f>I39+I40+I41+I42+I43</f>
        <v>5</v>
      </c>
      <c r="J38" s="88">
        <f t="shared" ref="J38:N38" si="10">J39+J40+J41+J42+J43</f>
        <v>1326.6542947000003</v>
      </c>
      <c r="K38" s="89">
        <f t="shared" si="10"/>
        <v>0</v>
      </c>
      <c r="L38" s="88">
        <f t="shared" si="10"/>
        <v>0</v>
      </c>
      <c r="M38" s="89">
        <f t="shared" si="10"/>
        <v>0</v>
      </c>
      <c r="N38" s="88">
        <f t="shared" si="10"/>
        <v>0</v>
      </c>
      <c r="O38" s="90"/>
      <c r="P38" s="90"/>
      <c r="Q38" s="91"/>
      <c r="R38" s="90"/>
      <c r="S38" s="92"/>
    </row>
    <row r="39" spans="1:19" s="264" customFormat="1" ht="28.5" customHeight="1">
      <c r="A39" s="23" t="s">
        <v>293</v>
      </c>
      <c r="B39" s="93" t="s">
        <v>89</v>
      </c>
      <c r="C39" s="37" t="s">
        <v>82</v>
      </c>
      <c r="D39" s="27">
        <v>187.80600000000001</v>
      </c>
      <c r="E39" s="94">
        <v>1</v>
      </c>
      <c r="F39" s="38">
        <f>187.756+0.05</f>
        <v>187.80600000000001</v>
      </c>
      <c r="G39" s="95"/>
      <c r="H39" s="96"/>
      <c r="I39" s="97">
        <v>1</v>
      </c>
      <c r="J39" s="27">
        <f>F39</f>
        <v>187.80600000000001</v>
      </c>
      <c r="K39" s="29"/>
      <c r="L39" s="57"/>
      <c r="M39" s="29"/>
      <c r="N39" s="29"/>
      <c r="O39" s="98"/>
      <c r="P39" s="98"/>
      <c r="Q39" s="99"/>
      <c r="R39" s="98"/>
      <c r="S39" s="100"/>
    </row>
    <row r="40" spans="1:19" s="264" customFormat="1" ht="28.5" customHeight="1">
      <c r="A40" s="23" t="s">
        <v>294</v>
      </c>
      <c r="B40" s="93" t="s">
        <v>90</v>
      </c>
      <c r="C40" s="37" t="s">
        <v>82</v>
      </c>
      <c r="D40" s="27">
        <v>186.84555120000002</v>
      </c>
      <c r="E40" s="94">
        <v>1</v>
      </c>
      <c r="F40" s="38">
        <v>186.84555120000002</v>
      </c>
      <c r="G40" s="95"/>
      <c r="H40" s="96"/>
      <c r="I40" s="97">
        <v>1</v>
      </c>
      <c r="J40" s="27">
        <f t="shared" ref="J40:J43" si="11">F40</f>
        <v>186.84555120000002</v>
      </c>
      <c r="K40" s="29"/>
      <c r="L40" s="57"/>
      <c r="M40" s="29"/>
      <c r="N40" s="29"/>
      <c r="O40" s="98"/>
      <c r="P40" s="98"/>
      <c r="Q40" s="99"/>
      <c r="R40" s="98"/>
      <c r="S40" s="100"/>
    </row>
    <row r="41" spans="1:19" s="264" customFormat="1" ht="28.5" customHeight="1">
      <c r="A41" s="23" t="s">
        <v>295</v>
      </c>
      <c r="B41" s="93" t="s">
        <v>91</v>
      </c>
      <c r="C41" s="37" t="s">
        <v>82</v>
      </c>
      <c r="D41" s="27">
        <v>623.00800000000004</v>
      </c>
      <c r="E41" s="94">
        <v>1</v>
      </c>
      <c r="F41" s="38">
        <v>623.00800000000004</v>
      </c>
      <c r="G41" s="95"/>
      <c r="H41" s="96"/>
      <c r="I41" s="97">
        <v>1</v>
      </c>
      <c r="J41" s="27">
        <f t="shared" si="11"/>
        <v>623.00800000000004</v>
      </c>
      <c r="K41" s="29"/>
      <c r="L41" s="57"/>
      <c r="M41" s="29"/>
      <c r="N41" s="29"/>
      <c r="O41" s="98"/>
      <c r="P41" s="98"/>
      <c r="Q41" s="99"/>
      <c r="R41" s="98"/>
      <c r="S41" s="100"/>
    </row>
    <row r="42" spans="1:19" s="264" customFormat="1" ht="28.5" customHeight="1">
      <c r="A42" s="23" t="s">
        <v>296</v>
      </c>
      <c r="B42" s="93" t="s">
        <v>92</v>
      </c>
      <c r="C42" s="37" t="s">
        <v>82</v>
      </c>
      <c r="D42" s="27">
        <v>163.91779650000001</v>
      </c>
      <c r="E42" s="94">
        <v>1</v>
      </c>
      <c r="F42" s="38">
        <v>163.91779650000001</v>
      </c>
      <c r="G42" s="95"/>
      <c r="H42" s="96"/>
      <c r="I42" s="97">
        <v>1</v>
      </c>
      <c r="J42" s="27">
        <f t="shared" si="11"/>
        <v>163.91779650000001</v>
      </c>
      <c r="K42" s="29"/>
      <c r="L42" s="57"/>
      <c r="M42" s="29"/>
      <c r="N42" s="29"/>
      <c r="O42" s="98"/>
      <c r="P42" s="98"/>
      <c r="Q42" s="99"/>
      <c r="R42" s="98"/>
      <c r="S42" s="100"/>
    </row>
    <row r="43" spans="1:19" s="264" customFormat="1">
      <c r="A43" s="23" t="s">
        <v>297</v>
      </c>
      <c r="B43" s="93" t="s">
        <v>93</v>
      </c>
      <c r="C43" s="37" t="s">
        <v>82</v>
      </c>
      <c r="D43" s="27">
        <v>165.07694700000002</v>
      </c>
      <c r="E43" s="94">
        <v>1</v>
      </c>
      <c r="F43" s="38">
        <v>165.07694700000002</v>
      </c>
      <c r="G43" s="95"/>
      <c r="H43" s="96"/>
      <c r="I43" s="97">
        <v>1</v>
      </c>
      <c r="J43" s="27">
        <f t="shared" si="11"/>
        <v>165.07694700000002</v>
      </c>
      <c r="K43" s="29"/>
      <c r="L43" s="57"/>
      <c r="M43" s="29"/>
      <c r="N43" s="29"/>
      <c r="O43" s="98"/>
      <c r="P43" s="98"/>
      <c r="Q43" s="99"/>
      <c r="R43" s="98"/>
      <c r="S43" s="100"/>
    </row>
    <row r="44" spans="1:19" s="264" customFormat="1" ht="51">
      <c r="A44" s="81" t="s">
        <v>298</v>
      </c>
      <c r="B44" s="82" t="s">
        <v>94</v>
      </c>
      <c r="C44" s="83" t="s">
        <v>82</v>
      </c>
      <c r="D44" s="84"/>
      <c r="E44" s="85">
        <f>E45+E46+E47+E48+E49+E50+E51</f>
        <v>7</v>
      </c>
      <c r="F44" s="86">
        <f>SUM(F45:F51)</f>
        <v>1268.7151229999999</v>
      </c>
      <c r="G44" s="87">
        <f t="shared" ref="G44:H44" si="12">G45+G46+G47+G48+G49+G50+G51</f>
        <v>0</v>
      </c>
      <c r="H44" s="86">
        <f t="shared" si="12"/>
        <v>0</v>
      </c>
      <c r="I44" s="87">
        <f>I45+I46+I47+I48+I49+I50+I51</f>
        <v>1</v>
      </c>
      <c r="J44" s="88">
        <f t="shared" ref="J44:L44" si="13">J45+J46+J47+J48+J49+J50+J51</f>
        <v>705.79094549999991</v>
      </c>
      <c r="K44" s="89">
        <f>K45+K46+K47+K48+K49+K50+K51</f>
        <v>6</v>
      </c>
      <c r="L44" s="101">
        <f t="shared" si="13"/>
        <v>562.92417749999993</v>
      </c>
      <c r="M44" s="89">
        <f>M45+M46+M47+M48+M49+M50+M51</f>
        <v>0</v>
      </c>
      <c r="N44" s="88">
        <f>N45+N46+N47+N48+N49+N50+N51</f>
        <v>0</v>
      </c>
      <c r="O44" s="90"/>
      <c r="P44" s="90"/>
      <c r="Q44" s="91"/>
      <c r="R44" s="90"/>
      <c r="S44" s="92"/>
    </row>
    <row r="45" spans="1:19" s="264" customFormat="1">
      <c r="A45" s="23" t="s">
        <v>299</v>
      </c>
      <c r="B45" s="93" t="s">
        <v>95</v>
      </c>
      <c r="C45" s="37" t="s">
        <v>82</v>
      </c>
      <c r="D45" s="27">
        <v>158.02000000000001</v>
      </c>
      <c r="E45" s="94">
        <v>1</v>
      </c>
      <c r="F45" s="38">
        <v>158.02000000000001</v>
      </c>
      <c r="G45" s="95"/>
      <c r="H45" s="96"/>
      <c r="I45" s="97"/>
      <c r="J45" s="27">
        <f>F45*0.5</f>
        <v>79.010000000000005</v>
      </c>
      <c r="K45" s="97">
        <v>1</v>
      </c>
      <c r="L45" s="30">
        <f>F45-J45</f>
        <v>79.010000000000005</v>
      </c>
      <c r="M45" s="29"/>
      <c r="N45" s="29"/>
      <c r="O45" s="98"/>
      <c r="P45" s="98"/>
      <c r="Q45" s="99"/>
      <c r="R45" s="98"/>
      <c r="S45" s="100"/>
    </row>
    <row r="46" spans="1:19" s="264" customFormat="1">
      <c r="A46" s="23" t="s">
        <v>300</v>
      </c>
      <c r="B46" s="93" t="s">
        <v>96</v>
      </c>
      <c r="C46" s="37" t="s">
        <v>82</v>
      </c>
      <c r="D46" s="27">
        <v>191.44677999999999</v>
      </c>
      <c r="E46" s="94">
        <v>1</v>
      </c>
      <c r="F46" s="38">
        <v>191.44677999999999</v>
      </c>
      <c r="G46" s="95"/>
      <c r="H46" s="96"/>
      <c r="I46" s="97"/>
      <c r="J46" s="27">
        <f t="shared" ref="J46:J47" si="14">F46*0.5</f>
        <v>95.723389999999995</v>
      </c>
      <c r="K46" s="97">
        <v>1</v>
      </c>
      <c r="L46" s="30">
        <f t="shared" ref="L46:L51" si="15">F46-J46</f>
        <v>95.723389999999995</v>
      </c>
      <c r="M46" s="29"/>
      <c r="N46" s="29"/>
      <c r="O46" s="98"/>
      <c r="P46" s="98"/>
      <c r="Q46" s="99"/>
      <c r="R46" s="98"/>
      <c r="S46" s="100"/>
    </row>
    <row r="47" spans="1:19" s="264" customFormat="1">
      <c r="A47" s="23" t="s">
        <v>301</v>
      </c>
      <c r="B47" s="93" t="s">
        <v>97</v>
      </c>
      <c r="C47" s="37" t="s">
        <v>82</v>
      </c>
      <c r="D47" s="27">
        <v>146.52695199999999</v>
      </c>
      <c r="E47" s="94">
        <v>1</v>
      </c>
      <c r="F47" s="38">
        <v>146.52695199999999</v>
      </c>
      <c r="G47" s="95"/>
      <c r="H47" s="96"/>
      <c r="I47" s="97"/>
      <c r="J47" s="27">
        <f t="shared" si="14"/>
        <v>73.263475999999997</v>
      </c>
      <c r="K47" s="97">
        <v>1</v>
      </c>
      <c r="L47" s="30">
        <f t="shared" si="15"/>
        <v>73.263475999999997</v>
      </c>
      <c r="M47" s="29"/>
      <c r="N47" s="29"/>
      <c r="O47" s="98"/>
      <c r="P47" s="98"/>
      <c r="Q47" s="99"/>
      <c r="R47" s="98"/>
      <c r="S47" s="100"/>
    </row>
    <row r="48" spans="1:19" s="264" customFormat="1">
      <c r="A48" s="23" t="s">
        <v>302</v>
      </c>
      <c r="B48" s="93" t="s">
        <v>98</v>
      </c>
      <c r="C48" s="37" t="s">
        <v>82</v>
      </c>
      <c r="D48" s="27">
        <v>142.86676800000001</v>
      </c>
      <c r="E48" s="94">
        <v>1</v>
      </c>
      <c r="F48" s="38">
        <v>142.86676800000001</v>
      </c>
      <c r="G48" s="95"/>
      <c r="H48" s="96"/>
      <c r="I48" s="97">
        <v>1</v>
      </c>
      <c r="J48" s="27">
        <f>F48</f>
        <v>142.86676800000001</v>
      </c>
      <c r="K48" s="97"/>
      <c r="L48" s="30"/>
      <c r="M48" s="29"/>
      <c r="N48" s="29"/>
      <c r="O48" s="98"/>
      <c r="P48" s="98"/>
      <c r="Q48" s="99"/>
      <c r="R48" s="98"/>
      <c r="S48" s="100"/>
    </row>
    <row r="49" spans="1:19" s="264" customFormat="1">
      <c r="A49" s="23" t="s">
        <v>303</v>
      </c>
      <c r="B49" s="93" t="s">
        <v>99</v>
      </c>
      <c r="C49" s="37" t="s">
        <v>82</v>
      </c>
      <c r="D49" s="27">
        <v>213.613</v>
      </c>
      <c r="E49" s="94">
        <v>1</v>
      </c>
      <c r="F49" s="38">
        <v>213.613</v>
      </c>
      <c r="G49" s="95"/>
      <c r="H49" s="96"/>
      <c r="I49" s="38"/>
      <c r="J49" s="27">
        <f>F49*0.5</f>
        <v>106.8065</v>
      </c>
      <c r="K49" s="97">
        <v>1</v>
      </c>
      <c r="L49" s="30">
        <f t="shared" si="15"/>
        <v>106.8065</v>
      </c>
      <c r="M49" s="29"/>
      <c r="N49" s="29"/>
      <c r="O49" s="98"/>
      <c r="P49" s="98"/>
      <c r="Q49" s="99"/>
      <c r="R49" s="98"/>
      <c r="S49" s="100"/>
    </row>
    <row r="50" spans="1:19" s="264" customFormat="1">
      <c r="A50" s="23" t="s">
        <v>304</v>
      </c>
      <c r="B50" s="93" t="s">
        <v>100</v>
      </c>
      <c r="C50" s="37" t="s">
        <v>82</v>
      </c>
      <c r="D50" s="27">
        <v>250.39937499999996</v>
      </c>
      <c r="E50" s="94">
        <v>1</v>
      </c>
      <c r="F50" s="38">
        <v>250.39937499999996</v>
      </c>
      <c r="G50" s="95"/>
      <c r="H50" s="96"/>
      <c r="I50" s="38"/>
      <c r="J50" s="27">
        <f t="shared" ref="J50:J51" si="16">F50*0.5</f>
        <v>125.19968749999998</v>
      </c>
      <c r="K50" s="97">
        <v>1</v>
      </c>
      <c r="L50" s="30">
        <f t="shared" si="15"/>
        <v>125.19968749999998</v>
      </c>
      <c r="M50" s="29"/>
      <c r="N50" s="29"/>
      <c r="O50" s="98"/>
      <c r="P50" s="98"/>
      <c r="Q50" s="99"/>
      <c r="R50" s="98"/>
      <c r="S50" s="100"/>
    </row>
    <row r="51" spans="1:19" s="264" customFormat="1">
      <c r="A51" s="23" t="s">
        <v>305</v>
      </c>
      <c r="B51" s="102" t="s">
        <v>101</v>
      </c>
      <c r="C51" s="53" t="s">
        <v>82</v>
      </c>
      <c r="D51" s="27">
        <v>165.84224800000001</v>
      </c>
      <c r="E51" s="71">
        <v>1</v>
      </c>
      <c r="F51" s="38">
        <v>165.84224800000001</v>
      </c>
      <c r="G51" s="95"/>
      <c r="H51" s="103"/>
      <c r="I51" s="27"/>
      <c r="J51" s="27">
        <f t="shared" si="16"/>
        <v>82.921124000000006</v>
      </c>
      <c r="K51" s="104">
        <v>1</v>
      </c>
      <c r="L51" s="30">
        <f t="shared" si="15"/>
        <v>82.921124000000006</v>
      </c>
      <c r="M51" s="29"/>
      <c r="N51" s="29"/>
      <c r="O51" s="98"/>
      <c r="P51" s="98"/>
      <c r="Q51" s="99"/>
      <c r="R51" s="98"/>
      <c r="S51" s="100"/>
    </row>
    <row r="52" spans="1:19" s="264" customFormat="1" ht="51">
      <c r="A52" s="81" t="s">
        <v>307</v>
      </c>
      <c r="B52" s="82" t="s">
        <v>102</v>
      </c>
      <c r="C52" s="83" t="s">
        <v>82</v>
      </c>
      <c r="D52" s="84"/>
      <c r="E52" s="85">
        <f>SUM(E53:E90)</f>
        <v>38</v>
      </c>
      <c r="F52" s="86">
        <f>SUM(F53:F91)</f>
        <v>10266.641507</v>
      </c>
      <c r="G52" s="87">
        <f t="shared" ref="G52:N52" si="17">SUM(G53:G90)</f>
        <v>0</v>
      </c>
      <c r="H52" s="86">
        <f t="shared" si="17"/>
        <v>0</v>
      </c>
      <c r="I52" s="87">
        <f t="shared" si="17"/>
        <v>1</v>
      </c>
      <c r="J52" s="86">
        <f t="shared" si="17"/>
        <v>709.56198800000004</v>
      </c>
      <c r="K52" s="89">
        <f t="shared" si="17"/>
        <v>10</v>
      </c>
      <c r="L52" s="88">
        <f t="shared" si="17"/>
        <v>2600.7355779999998</v>
      </c>
      <c r="M52" s="89">
        <f t="shared" si="17"/>
        <v>27</v>
      </c>
      <c r="N52" s="88">
        <f t="shared" si="17"/>
        <v>5062.3439410000001</v>
      </c>
      <c r="O52" s="90"/>
      <c r="P52" s="90"/>
      <c r="Q52" s="91"/>
      <c r="R52" s="90"/>
      <c r="S52" s="92"/>
    </row>
    <row r="53" spans="1:19" s="264" customFormat="1">
      <c r="A53" s="23" t="s">
        <v>306</v>
      </c>
      <c r="B53" s="93" t="s">
        <v>103</v>
      </c>
      <c r="C53" s="37" t="s">
        <v>82</v>
      </c>
      <c r="D53" s="27">
        <v>156.97697099999999</v>
      </c>
      <c r="E53" s="94">
        <v>1</v>
      </c>
      <c r="F53" s="105">
        <v>156.97697099999999</v>
      </c>
      <c r="G53" s="106"/>
      <c r="H53" s="29"/>
      <c r="I53" s="29"/>
      <c r="J53" s="27"/>
      <c r="K53" s="38"/>
      <c r="L53" s="105">
        <f>156.976971*0.5-1.06+0.0047-0.0016-0.00003</f>
        <v>77.431555500000002</v>
      </c>
      <c r="M53" s="97">
        <v>1</v>
      </c>
      <c r="N53" s="105">
        <f>156.976971-L53</f>
        <v>79.54541549999999</v>
      </c>
      <c r="O53" s="98"/>
      <c r="P53" s="98"/>
      <c r="Q53" s="99"/>
      <c r="R53" s="98"/>
      <c r="S53" s="100"/>
    </row>
    <row r="54" spans="1:19" s="264" customFormat="1">
      <c r="A54" s="23" t="s">
        <v>308</v>
      </c>
      <c r="B54" s="93" t="s">
        <v>104</v>
      </c>
      <c r="C54" s="37" t="s">
        <v>82</v>
      </c>
      <c r="D54" s="27">
        <v>149.869506</v>
      </c>
      <c r="E54" s="94">
        <v>1</v>
      </c>
      <c r="F54" s="105">
        <v>149.869506</v>
      </c>
      <c r="G54" s="106"/>
      <c r="H54" s="29"/>
      <c r="I54" s="29"/>
      <c r="J54" s="27"/>
      <c r="K54" s="38"/>
      <c r="L54" s="105">
        <f>F54*0.5</f>
        <v>74.934753000000001</v>
      </c>
      <c r="M54" s="97">
        <v>1</v>
      </c>
      <c r="N54" s="105">
        <f>F54-L54</f>
        <v>74.934753000000001</v>
      </c>
      <c r="O54" s="98"/>
      <c r="P54" s="98"/>
      <c r="Q54" s="99"/>
      <c r="R54" s="98"/>
      <c r="S54" s="100"/>
    </row>
    <row r="55" spans="1:19" s="264" customFormat="1">
      <c r="A55" s="23" t="s">
        <v>309</v>
      </c>
      <c r="B55" s="93" t="s">
        <v>105</v>
      </c>
      <c r="C55" s="37" t="s">
        <v>82</v>
      </c>
      <c r="D55" s="27">
        <v>151.44533699999999</v>
      </c>
      <c r="E55" s="94">
        <v>1</v>
      </c>
      <c r="F55" s="105">
        <v>151.44533699999999</v>
      </c>
      <c r="G55" s="106"/>
      <c r="H55" s="29"/>
      <c r="I55" s="29"/>
      <c r="J55" s="27"/>
      <c r="K55" s="38"/>
      <c r="L55" s="105">
        <f>F55*0.5</f>
        <v>75.722668499999997</v>
      </c>
      <c r="M55" s="97">
        <v>1</v>
      </c>
      <c r="N55" s="105">
        <f>F55-L55</f>
        <v>75.722668499999997</v>
      </c>
      <c r="O55" s="98"/>
      <c r="P55" s="98"/>
      <c r="Q55" s="99"/>
      <c r="R55" s="98"/>
      <c r="S55" s="100"/>
    </row>
    <row r="56" spans="1:19" s="264" customFormat="1">
      <c r="A56" s="23" t="s">
        <v>310</v>
      </c>
      <c r="B56" s="93" t="s">
        <v>106</v>
      </c>
      <c r="C56" s="37" t="s">
        <v>82</v>
      </c>
      <c r="D56" s="27">
        <v>305.29951499999999</v>
      </c>
      <c r="E56" s="94">
        <v>1</v>
      </c>
      <c r="F56" s="105">
        <v>305.29951499999999</v>
      </c>
      <c r="G56" s="106"/>
      <c r="H56" s="29"/>
      <c r="I56" s="29"/>
      <c r="J56" s="105">
        <f>F56*0.6</f>
        <v>183.17970899999997</v>
      </c>
      <c r="K56" s="97">
        <v>1</v>
      </c>
      <c r="L56" s="105">
        <f>F56-J56</f>
        <v>122.11980600000001</v>
      </c>
      <c r="M56" s="107"/>
      <c r="N56" s="29"/>
      <c r="O56" s="98"/>
      <c r="P56" s="98"/>
      <c r="Q56" s="99"/>
      <c r="R56" s="98"/>
      <c r="S56" s="100"/>
    </row>
    <row r="57" spans="1:19" s="264" customFormat="1">
      <c r="A57" s="23" t="s">
        <v>311</v>
      </c>
      <c r="B57" s="93" t="s">
        <v>107</v>
      </c>
      <c r="C57" s="37" t="s">
        <v>82</v>
      </c>
      <c r="D57" s="27">
        <v>152.72810000000001</v>
      </c>
      <c r="E57" s="94">
        <v>1</v>
      </c>
      <c r="F57" s="108">
        <f>152.728</f>
        <v>152.72800000000001</v>
      </c>
      <c r="G57" s="106"/>
      <c r="H57" s="29"/>
      <c r="I57" s="29"/>
      <c r="J57" s="27"/>
      <c r="K57" s="38"/>
      <c r="L57" s="27"/>
      <c r="M57" s="97">
        <v>1</v>
      </c>
      <c r="N57" s="105">
        <f>F57</f>
        <v>152.72800000000001</v>
      </c>
      <c r="O57" s="98"/>
      <c r="P57" s="98"/>
      <c r="Q57" s="99"/>
      <c r="R57" s="98"/>
      <c r="S57" s="100"/>
    </row>
    <row r="58" spans="1:19" s="264" customFormat="1">
      <c r="A58" s="23" t="s">
        <v>312</v>
      </c>
      <c r="B58" s="93" t="s">
        <v>108</v>
      </c>
      <c r="C58" s="37" t="s">
        <v>82</v>
      </c>
      <c r="D58" s="27">
        <v>148.29402300000001</v>
      </c>
      <c r="E58" s="94">
        <v>1</v>
      </c>
      <c r="F58" s="105">
        <v>148.29402300000001</v>
      </c>
      <c r="G58" s="106"/>
      <c r="H58" s="29"/>
      <c r="I58" s="29"/>
      <c r="J58" s="27"/>
      <c r="K58" s="38"/>
      <c r="L58" s="27"/>
      <c r="M58" s="97">
        <v>1</v>
      </c>
      <c r="N58" s="105">
        <f>F58</f>
        <v>148.29402300000001</v>
      </c>
      <c r="O58" s="98"/>
      <c r="P58" s="98"/>
      <c r="Q58" s="99"/>
      <c r="R58" s="98"/>
      <c r="S58" s="100"/>
    </row>
    <row r="59" spans="1:19" s="264" customFormat="1">
      <c r="A59" s="23" t="s">
        <v>313</v>
      </c>
      <c r="B59" s="93" t="s">
        <v>109</v>
      </c>
      <c r="C59" s="37" t="s">
        <v>82</v>
      </c>
      <c r="D59" s="27">
        <v>151.44533699999999</v>
      </c>
      <c r="E59" s="94">
        <v>1</v>
      </c>
      <c r="F59" s="105">
        <v>151.44533699999999</v>
      </c>
      <c r="G59" s="106"/>
      <c r="H59" s="29"/>
      <c r="I59" s="29"/>
      <c r="J59" s="105">
        <f>151.445337*0.5+0.76+0.0049</f>
        <v>76.487568500000009</v>
      </c>
      <c r="K59" s="97">
        <v>1</v>
      </c>
      <c r="L59" s="105">
        <f>151.445337-J59</f>
        <v>74.957768499999986</v>
      </c>
      <c r="M59" s="107"/>
      <c r="N59" s="29"/>
      <c r="O59" s="98"/>
      <c r="P59" s="98"/>
      <c r="Q59" s="99"/>
      <c r="R59" s="98"/>
      <c r="S59" s="100"/>
    </row>
    <row r="60" spans="1:19" s="264" customFormat="1">
      <c r="A60" s="23" t="s">
        <v>314</v>
      </c>
      <c r="B60" s="93" t="s">
        <v>110</v>
      </c>
      <c r="C60" s="37" t="s">
        <v>82</v>
      </c>
      <c r="D60" s="27">
        <v>155.50606200000001</v>
      </c>
      <c r="E60" s="94">
        <v>1</v>
      </c>
      <c r="F60" s="105">
        <v>155.50606200000001</v>
      </c>
      <c r="G60" s="106"/>
      <c r="H60" s="29"/>
      <c r="I60" s="29"/>
      <c r="J60" s="27"/>
      <c r="K60" s="97"/>
      <c r="L60" s="27"/>
      <c r="M60" s="97">
        <v>1</v>
      </c>
      <c r="N60" s="105">
        <f>F60</f>
        <v>155.50606200000001</v>
      </c>
      <c r="O60" s="98"/>
      <c r="P60" s="98"/>
      <c r="Q60" s="99"/>
      <c r="R60" s="98"/>
      <c r="S60" s="100"/>
    </row>
    <row r="61" spans="1:19" s="264" customFormat="1">
      <c r="A61" s="23" t="s">
        <v>315</v>
      </c>
      <c r="B61" s="93" t="s">
        <v>111</v>
      </c>
      <c r="C61" s="37" t="s">
        <v>82</v>
      </c>
      <c r="D61" s="27">
        <v>151.44533699999999</v>
      </c>
      <c r="E61" s="94">
        <v>1</v>
      </c>
      <c r="F61" s="105">
        <v>151.44533699999999</v>
      </c>
      <c r="G61" s="106"/>
      <c r="H61" s="29"/>
      <c r="I61" s="29"/>
      <c r="J61" s="27"/>
      <c r="K61" s="97"/>
      <c r="L61" s="27"/>
      <c r="M61" s="97">
        <v>1</v>
      </c>
      <c r="N61" s="105">
        <f t="shared" ref="N61:N66" si="18">F61</f>
        <v>151.44533699999999</v>
      </c>
      <c r="O61" s="98"/>
      <c r="P61" s="98"/>
      <c r="Q61" s="99"/>
      <c r="R61" s="98"/>
      <c r="S61" s="100"/>
    </row>
    <row r="62" spans="1:19" s="264" customFormat="1">
      <c r="A62" s="23" t="s">
        <v>316</v>
      </c>
      <c r="B62" s="102" t="s">
        <v>112</v>
      </c>
      <c r="C62" s="53" t="s">
        <v>82</v>
      </c>
      <c r="D62" s="27">
        <v>151.44533699999999</v>
      </c>
      <c r="E62" s="71">
        <v>1</v>
      </c>
      <c r="F62" s="105">
        <v>151.44533699999999</v>
      </c>
      <c r="G62" s="109"/>
      <c r="H62" s="29"/>
      <c r="I62" s="29"/>
      <c r="J62" s="27"/>
      <c r="K62" s="104"/>
      <c r="L62" s="27"/>
      <c r="M62" s="97">
        <v>1</v>
      </c>
      <c r="N62" s="105">
        <f t="shared" si="18"/>
        <v>151.44533699999999</v>
      </c>
      <c r="O62" s="98"/>
      <c r="P62" s="98"/>
      <c r="Q62" s="99"/>
      <c r="R62" s="98"/>
      <c r="S62" s="100"/>
    </row>
    <row r="63" spans="1:19" s="264" customFormat="1">
      <c r="A63" s="23" t="s">
        <v>317</v>
      </c>
      <c r="B63" s="102" t="s">
        <v>113</v>
      </c>
      <c r="C63" s="53" t="s">
        <v>82</v>
      </c>
      <c r="D63" s="27">
        <v>300.47687000000002</v>
      </c>
      <c r="E63" s="71">
        <v>1</v>
      </c>
      <c r="F63" s="105">
        <v>300.47687000000002</v>
      </c>
      <c r="G63" s="109"/>
      <c r="H63" s="29"/>
      <c r="I63" s="29"/>
      <c r="J63" s="27"/>
      <c r="K63" s="104"/>
      <c r="L63" s="27"/>
      <c r="M63" s="97">
        <v>1</v>
      </c>
      <c r="N63" s="105">
        <f t="shared" si="18"/>
        <v>300.47687000000002</v>
      </c>
      <c r="O63" s="98"/>
      <c r="P63" s="98"/>
      <c r="Q63" s="99"/>
      <c r="R63" s="98"/>
      <c r="S63" s="100"/>
    </row>
    <row r="64" spans="1:19" s="264" customFormat="1">
      <c r="A64" s="23" t="s">
        <v>318</v>
      </c>
      <c r="B64" s="93" t="s">
        <v>114</v>
      </c>
      <c r="C64" s="37" t="s">
        <v>82</v>
      </c>
      <c r="D64" s="27">
        <v>295.92784</v>
      </c>
      <c r="E64" s="94">
        <v>1</v>
      </c>
      <c r="F64" s="105">
        <v>295.92784</v>
      </c>
      <c r="G64" s="106"/>
      <c r="H64" s="29"/>
      <c r="I64" s="29"/>
      <c r="J64" s="27"/>
      <c r="K64" s="97"/>
      <c r="L64" s="27"/>
      <c r="M64" s="97">
        <v>1</v>
      </c>
      <c r="N64" s="105">
        <f t="shared" si="18"/>
        <v>295.92784</v>
      </c>
      <c r="O64" s="98"/>
      <c r="P64" s="98"/>
      <c r="Q64" s="99"/>
      <c r="R64" s="98"/>
      <c r="S64" s="100"/>
    </row>
    <row r="65" spans="1:19" s="264" customFormat="1">
      <c r="A65" s="23" t="s">
        <v>319</v>
      </c>
      <c r="B65" s="93" t="s">
        <v>115</v>
      </c>
      <c r="C65" s="37" t="s">
        <v>82</v>
      </c>
      <c r="D65" s="27">
        <v>149.869506</v>
      </c>
      <c r="E65" s="94">
        <v>1</v>
      </c>
      <c r="F65" s="105">
        <v>149.869506</v>
      </c>
      <c r="G65" s="106"/>
      <c r="H65" s="29"/>
      <c r="I65" s="29"/>
      <c r="J65" s="27"/>
      <c r="K65" s="97"/>
      <c r="L65" s="27"/>
      <c r="M65" s="97">
        <v>1</v>
      </c>
      <c r="N65" s="105">
        <f t="shared" si="18"/>
        <v>149.869506</v>
      </c>
      <c r="O65" s="98"/>
      <c r="P65" s="98"/>
      <c r="Q65" s="99"/>
      <c r="R65" s="98"/>
      <c r="S65" s="100"/>
    </row>
    <row r="66" spans="1:19" s="264" customFormat="1">
      <c r="A66" s="23" t="s">
        <v>320</v>
      </c>
      <c r="B66" s="93" t="s">
        <v>116</v>
      </c>
      <c r="C66" s="37" t="s">
        <v>82</v>
      </c>
      <c r="D66" s="27">
        <v>303.86241999999999</v>
      </c>
      <c r="E66" s="94">
        <v>1</v>
      </c>
      <c r="F66" s="108">
        <f>303.86242</f>
        <v>303.86241999999999</v>
      </c>
      <c r="G66" s="106"/>
      <c r="H66" s="29"/>
      <c r="I66" s="29"/>
      <c r="J66" s="27"/>
      <c r="K66" s="97"/>
      <c r="L66" s="27"/>
      <c r="M66" s="97">
        <v>1</v>
      </c>
      <c r="N66" s="105">
        <f t="shared" si="18"/>
        <v>303.86241999999999</v>
      </c>
      <c r="O66" s="98"/>
      <c r="P66" s="98"/>
      <c r="Q66" s="99"/>
      <c r="R66" s="98"/>
      <c r="S66" s="100"/>
    </row>
    <row r="67" spans="1:19" s="264" customFormat="1">
      <c r="A67" s="23" t="s">
        <v>321</v>
      </c>
      <c r="B67" s="93" t="s">
        <v>117</v>
      </c>
      <c r="C67" s="37" t="s">
        <v>82</v>
      </c>
      <c r="D67" s="27">
        <v>297.36723000000001</v>
      </c>
      <c r="E67" s="94">
        <v>1</v>
      </c>
      <c r="F67" s="105">
        <v>297.36723000000001</v>
      </c>
      <c r="G67" s="106"/>
      <c r="H67" s="29"/>
      <c r="I67" s="29"/>
      <c r="J67" s="105">
        <f>F67*0.5</f>
        <v>148.683615</v>
      </c>
      <c r="K67" s="97">
        <v>1</v>
      </c>
      <c r="L67" s="105">
        <f>F67-J67</f>
        <v>148.683615</v>
      </c>
      <c r="M67" s="107"/>
      <c r="N67" s="29"/>
      <c r="O67" s="98"/>
      <c r="P67" s="98"/>
      <c r="Q67" s="99"/>
      <c r="R67" s="98"/>
      <c r="S67" s="100"/>
    </row>
    <row r="68" spans="1:19" s="264" customFormat="1">
      <c r="A68" s="23" t="s">
        <v>322</v>
      </c>
      <c r="B68" s="93" t="s">
        <v>118</v>
      </c>
      <c r="C68" s="37" t="s">
        <v>82</v>
      </c>
      <c r="D68" s="27">
        <v>146.12876700000001</v>
      </c>
      <c r="E68" s="94">
        <v>1</v>
      </c>
      <c r="F68" s="105">
        <v>146.12876700000001</v>
      </c>
      <c r="G68" s="106"/>
      <c r="H68" s="29"/>
      <c r="I68" s="29"/>
      <c r="J68" s="27"/>
      <c r="K68" s="97"/>
      <c r="L68" s="27"/>
      <c r="M68" s="97">
        <v>1</v>
      </c>
      <c r="N68" s="105">
        <f>F68</f>
        <v>146.12876700000001</v>
      </c>
      <c r="O68" s="98"/>
      <c r="P68" s="98"/>
      <c r="Q68" s="99"/>
      <c r="R68" s="98"/>
      <c r="S68" s="100"/>
    </row>
    <row r="69" spans="1:19" s="264" customFormat="1">
      <c r="A69" s="23" t="s">
        <v>323</v>
      </c>
      <c r="B69" s="93" t="s">
        <v>119</v>
      </c>
      <c r="C69" s="37" t="s">
        <v>82</v>
      </c>
      <c r="D69" s="27">
        <v>147.35424900000001</v>
      </c>
      <c r="E69" s="94">
        <v>1</v>
      </c>
      <c r="F69" s="105">
        <v>147.35424900000001</v>
      </c>
      <c r="G69" s="106"/>
      <c r="H69" s="29"/>
      <c r="I69" s="29"/>
      <c r="J69" s="27"/>
      <c r="K69" s="97"/>
      <c r="L69" s="27"/>
      <c r="M69" s="97">
        <v>1</v>
      </c>
      <c r="N69" s="105">
        <f>F69</f>
        <v>147.35424900000001</v>
      </c>
      <c r="O69" s="98"/>
      <c r="P69" s="98"/>
      <c r="Q69" s="99"/>
      <c r="R69" s="98"/>
      <c r="S69" s="100"/>
    </row>
    <row r="70" spans="1:19" s="264" customFormat="1">
      <c r="A70" s="23" t="s">
        <v>324</v>
      </c>
      <c r="B70" s="93" t="s">
        <v>120</v>
      </c>
      <c r="C70" s="37" t="s">
        <v>82</v>
      </c>
      <c r="D70" s="27">
        <v>294.49091499999997</v>
      </c>
      <c r="E70" s="94">
        <v>1</v>
      </c>
      <c r="F70" s="105">
        <v>294.49091499999997</v>
      </c>
      <c r="G70" s="106"/>
      <c r="H70" s="29"/>
      <c r="I70" s="29"/>
      <c r="J70" s="27"/>
      <c r="K70" s="97"/>
      <c r="L70" s="27"/>
      <c r="M70" s="97">
        <v>1</v>
      </c>
      <c r="N70" s="105">
        <f>F70</f>
        <v>294.49091499999997</v>
      </c>
      <c r="O70" s="98"/>
      <c r="P70" s="98"/>
      <c r="Q70" s="99"/>
      <c r="R70" s="98"/>
      <c r="S70" s="100"/>
    </row>
    <row r="71" spans="1:19" s="264" customFormat="1">
      <c r="A71" s="23" t="s">
        <v>325</v>
      </c>
      <c r="B71" s="93" t="s">
        <v>121</v>
      </c>
      <c r="C71" s="37" t="s">
        <v>82</v>
      </c>
      <c r="D71" s="27">
        <v>149.869506</v>
      </c>
      <c r="E71" s="94">
        <v>1</v>
      </c>
      <c r="F71" s="105">
        <v>149.869506</v>
      </c>
      <c r="G71" s="106"/>
      <c r="H71" s="29"/>
      <c r="I71" s="29"/>
      <c r="J71" s="27">
        <f>F71*0.5</f>
        <v>74.934753000000001</v>
      </c>
      <c r="K71" s="97">
        <v>1</v>
      </c>
      <c r="L71" s="27">
        <f>F71-J71</f>
        <v>74.934753000000001</v>
      </c>
      <c r="M71" s="107"/>
      <c r="N71" s="29"/>
      <c r="O71" s="98"/>
      <c r="P71" s="98"/>
      <c r="Q71" s="99"/>
      <c r="R71" s="98"/>
      <c r="S71" s="100"/>
    </row>
    <row r="72" spans="1:19" s="264" customFormat="1">
      <c r="A72" s="23" t="s">
        <v>326</v>
      </c>
      <c r="B72" s="93" t="s">
        <v>122</v>
      </c>
      <c r="C72" s="37" t="s">
        <v>82</v>
      </c>
      <c r="D72" s="27">
        <v>156.97697099999999</v>
      </c>
      <c r="E72" s="94">
        <v>1</v>
      </c>
      <c r="F72" s="105">
        <v>156.97697099999999</v>
      </c>
      <c r="G72" s="106"/>
      <c r="H72" s="29"/>
      <c r="I72" s="29"/>
      <c r="J72" s="27">
        <f>F72*0.5</f>
        <v>78.488485499999996</v>
      </c>
      <c r="K72" s="97">
        <v>1</v>
      </c>
      <c r="L72" s="27">
        <f>F72-J72</f>
        <v>78.488485499999996</v>
      </c>
      <c r="M72" s="107"/>
      <c r="N72" s="29"/>
      <c r="O72" s="98"/>
      <c r="P72" s="98"/>
      <c r="Q72" s="99"/>
      <c r="R72" s="98"/>
      <c r="S72" s="100"/>
    </row>
    <row r="73" spans="1:19" s="264" customFormat="1">
      <c r="A73" s="23" t="s">
        <v>327</v>
      </c>
      <c r="B73" s="93" t="s">
        <v>123</v>
      </c>
      <c r="C73" s="37" t="s">
        <v>82</v>
      </c>
      <c r="D73" s="27">
        <v>282.95964500000002</v>
      </c>
      <c r="E73" s="94">
        <v>1</v>
      </c>
      <c r="F73" s="105">
        <v>282.95964500000002</v>
      </c>
      <c r="G73" s="106"/>
      <c r="H73" s="29"/>
      <c r="I73" s="29"/>
      <c r="J73" s="27"/>
      <c r="K73" s="97"/>
      <c r="L73" s="27"/>
      <c r="M73" s="97">
        <v>1</v>
      </c>
      <c r="N73" s="105">
        <f>F73</f>
        <v>282.95964500000002</v>
      </c>
      <c r="O73" s="98"/>
      <c r="P73" s="98"/>
      <c r="Q73" s="99"/>
      <c r="R73" s="98"/>
      <c r="S73" s="100"/>
    </row>
    <row r="74" spans="1:19" s="264" customFormat="1">
      <c r="A74" s="23" t="s">
        <v>328</v>
      </c>
      <c r="B74" s="102" t="s">
        <v>124</v>
      </c>
      <c r="C74" s="37" t="s">
        <v>82</v>
      </c>
      <c r="D74" s="27">
        <v>149.87255100000002</v>
      </c>
      <c r="E74" s="94">
        <v>1</v>
      </c>
      <c r="F74" s="105">
        <v>149.87255100000002</v>
      </c>
      <c r="G74" s="106"/>
      <c r="H74" s="29"/>
      <c r="I74" s="29"/>
      <c r="J74" s="27"/>
      <c r="K74" s="97"/>
      <c r="L74" s="27"/>
      <c r="M74" s="97">
        <v>1</v>
      </c>
      <c r="N74" s="105">
        <f>F74</f>
        <v>149.87255100000002</v>
      </c>
      <c r="O74" s="98"/>
      <c r="P74" s="98"/>
      <c r="Q74" s="99"/>
      <c r="R74" s="98"/>
      <c r="S74" s="100"/>
    </row>
    <row r="75" spans="1:19" s="264" customFormat="1">
      <c r="A75" s="23" t="s">
        <v>329</v>
      </c>
      <c r="B75" s="93" t="s">
        <v>125</v>
      </c>
      <c r="C75" s="37" t="s">
        <v>82</v>
      </c>
      <c r="D75" s="27">
        <v>150.63963000000001</v>
      </c>
      <c r="E75" s="94">
        <v>1</v>
      </c>
      <c r="F75" s="105">
        <v>150.63963000000001</v>
      </c>
      <c r="G75" s="106"/>
      <c r="H75" s="29"/>
      <c r="I75" s="29"/>
      <c r="J75" s="27"/>
      <c r="K75" s="38"/>
      <c r="L75" s="27">
        <f>F75*0.5</f>
        <v>75.319815000000006</v>
      </c>
      <c r="M75" s="40">
        <v>1</v>
      </c>
      <c r="N75" s="110">
        <f>F75-L75</f>
        <v>75.319815000000006</v>
      </c>
      <c r="O75" s="98"/>
      <c r="P75" s="98"/>
      <c r="Q75" s="99"/>
      <c r="R75" s="98"/>
      <c r="S75" s="100"/>
    </row>
    <row r="76" spans="1:19" s="264" customFormat="1">
      <c r="A76" s="23" t="s">
        <v>330</v>
      </c>
      <c r="B76" s="93" t="s">
        <v>126</v>
      </c>
      <c r="C76" s="37" t="s">
        <v>82</v>
      </c>
      <c r="D76" s="27">
        <v>154.80545100000001</v>
      </c>
      <c r="E76" s="94">
        <v>1</v>
      </c>
      <c r="F76" s="105">
        <v>154.80545100000001</v>
      </c>
      <c r="G76" s="106"/>
      <c r="H76" s="29"/>
      <c r="I76" s="29"/>
      <c r="J76" s="27"/>
      <c r="K76" s="38"/>
      <c r="L76" s="27">
        <f t="shared" ref="L76:L77" si="19">F76*0.5</f>
        <v>77.402725500000003</v>
      </c>
      <c r="M76" s="40">
        <v>1</v>
      </c>
      <c r="N76" s="110">
        <f t="shared" ref="N76:N77" si="20">F76-L76</f>
        <v>77.402725500000003</v>
      </c>
      <c r="O76" s="98"/>
      <c r="P76" s="98"/>
      <c r="Q76" s="99"/>
      <c r="R76" s="98"/>
      <c r="S76" s="100"/>
    </row>
    <row r="77" spans="1:19" s="264" customFormat="1">
      <c r="A77" s="23" t="s">
        <v>331</v>
      </c>
      <c r="B77" s="93" t="s">
        <v>127</v>
      </c>
      <c r="C77" s="37" t="s">
        <v>82</v>
      </c>
      <c r="D77" s="27">
        <v>156.276273</v>
      </c>
      <c r="E77" s="94">
        <v>1</v>
      </c>
      <c r="F77" s="105">
        <v>156.276273</v>
      </c>
      <c r="G77" s="106"/>
      <c r="H77" s="29"/>
      <c r="I77" s="29"/>
      <c r="J77" s="105"/>
      <c r="K77" s="38"/>
      <c r="L77" s="27">
        <f t="shared" si="19"/>
        <v>78.138136500000002</v>
      </c>
      <c r="M77" s="40">
        <v>1</v>
      </c>
      <c r="N77" s="110">
        <f t="shared" si="20"/>
        <v>78.138136500000002</v>
      </c>
      <c r="O77" s="98"/>
      <c r="P77" s="98"/>
      <c r="Q77" s="99"/>
      <c r="R77" s="98"/>
      <c r="S77" s="100"/>
    </row>
    <row r="78" spans="1:19" s="264" customFormat="1">
      <c r="A78" s="23" t="s">
        <v>332</v>
      </c>
      <c r="B78" s="102" t="s">
        <v>128</v>
      </c>
      <c r="C78" s="37" t="s">
        <v>82</v>
      </c>
      <c r="D78" s="27">
        <v>275.05599999999998</v>
      </c>
      <c r="E78" s="97">
        <v>1</v>
      </c>
      <c r="F78" s="105">
        <v>275.05599999999998</v>
      </c>
      <c r="G78" s="106"/>
      <c r="H78" s="29"/>
      <c r="I78" s="29"/>
      <c r="J78" s="105"/>
      <c r="K78" s="97">
        <v>1</v>
      </c>
      <c r="L78" s="105">
        <f>275.056</f>
        <v>275.05599999999998</v>
      </c>
      <c r="M78" s="107"/>
      <c r="N78" s="29"/>
      <c r="O78" s="98"/>
      <c r="P78" s="98"/>
      <c r="Q78" s="99"/>
      <c r="R78" s="98"/>
      <c r="S78" s="100"/>
    </row>
    <row r="79" spans="1:19" s="264" customFormat="1">
      <c r="A79" s="23" t="s">
        <v>333</v>
      </c>
      <c r="B79" s="93" t="s">
        <v>129</v>
      </c>
      <c r="C79" s="37" t="s">
        <v>82</v>
      </c>
      <c r="D79" s="27">
        <v>135.34920600000001</v>
      </c>
      <c r="E79" s="97">
        <v>1</v>
      </c>
      <c r="F79" s="105">
        <v>135.34920600000001</v>
      </c>
      <c r="G79" s="95"/>
      <c r="H79" s="96"/>
      <c r="I79" s="29"/>
      <c r="J79" s="27"/>
      <c r="K79" s="97"/>
      <c r="L79" s="27"/>
      <c r="M79" s="97">
        <v>1</v>
      </c>
      <c r="N79" s="105">
        <f>F79</f>
        <v>135.34920600000001</v>
      </c>
      <c r="O79" s="98"/>
      <c r="P79" s="98"/>
      <c r="Q79" s="99"/>
      <c r="R79" s="98"/>
      <c r="S79" s="100"/>
    </row>
    <row r="80" spans="1:19" s="264" customFormat="1">
      <c r="A80" s="23" t="s">
        <v>334</v>
      </c>
      <c r="B80" s="93" t="s">
        <v>130</v>
      </c>
      <c r="C80" s="37" t="s">
        <v>82</v>
      </c>
      <c r="D80" s="27">
        <v>330.97053100000005</v>
      </c>
      <c r="E80" s="97">
        <v>1</v>
      </c>
      <c r="F80" s="105">
        <v>330.97053100000005</v>
      </c>
      <c r="G80" s="106"/>
      <c r="H80" s="29"/>
      <c r="I80" s="29"/>
      <c r="J80" s="27"/>
      <c r="K80" s="97"/>
      <c r="L80" s="27"/>
      <c r="M80" s="97">
        <v>1</v>
      </c>
      <c r="N80" s="105">
        <f>F80</f>
        <v>330.97053100000005</v>
      </c>
      <c r="O80" s="98"/>
      <c r="P80" s="98"/>
      <c r="Q80" s="99"/>
      <c r="R80" s="98"/>
      <c r="S80" s="100"/>
    </row>
    <row r="81" spans="1:19" s="264" customFormat="1">
      <c r="A81" s="23" t="s">
        <v>335</v>
      </c>
      <c r="B81" s="93" t="s">
        <v>131</v>
      </c>
      <c r="C81" s="37" t="s">
        <v>82</v>
      </c>
      <c r="D81" s="27">
        <v>143.87668499999998</v>
      </c>
      <c r="E81" s="97">
        <v>1</v>
      </c>
      <c r="F81" s="105">
        <v>143.87668499999998</v>
      </c>
      <c r="G81" s="106"/>
      <c r="H81" s="29"/>
      <c r="I81" s="29"/>
      <c r="J81" s="27"/>
      <c r="K81" s="97"/>
      <c r="L81" s="27"/>
      <c r="M81" s="97">
        <v>1</v>
      </c>
      <c r="N81" s="105">
        <f>F81</f>
        <v>143.87668499999998</v>
      </c>
      <c r="O81" s="98"/>
      <c r="P81" s="98"/>
      <c r="Q81" s="99"/>
      <c r="R81" s="98"/>
      <c r="S81" s="100"/>
    </row>
    <row r="82" spans="1:19" s="264" customFormat="1">
      <c r="A82" s="23" t="s">
        <v>336</v>
      </c>
      <c r="B82" s="93" t="s">
        <v>132</v>
      </c>
      <c r="C82" s="37" t="s">
        <v>82</v>
      </c>
      <c r="D82" s="27">
        <v>330.495</v>
      </c>
      <c r="E82" s="97">
        <v>1</v>
      </c>
      <c r="F82" s="105">
        <v>330.495</v>
      </c>
      <c r="G82" s="106"/>
      <c r="H82" s="29"/>
      <c r="I82" s="29"/>
      <c r="J82" s="105"/>
      <c r="K82" s="97">
        <v>1</v>
      </c>
      <c r="L82" s="105">
        <f>330.495</f>
        <v>330.495</v>
      </c>
      <c r="M82" s="107"/>
      <c r="N82" s="29"/>
      <c r="O82" s="98"/>
      <c r="P82" s="98"/>
      <c r="Q82" s="99"/>
      <c r="R82" s="98"/>
      <c r="S82" s="100"/>
    </row>
    <row r="83" spans="1:19" s="264" customFormat="1" ht="31.5" customHeight="1">
      <c r="A83" s="23" t="s">
        <v>337</v>
      </c>
      <c r="B83" s="93" t="s">
        <v>133</v>
      </c>
      <c r="C83" s="37" t="s">
        <v>82</v>
      </c>
      <c r="D83" s="27">
        <v>327.42595</v>
      </c>
      <c r="E83" s="97">
        <v>1</v>
      </c>
      <c r="F83" s="105">
        <v>327.42595</v>
      </c>
      <c r="G83" s="106"/>
      <c r="H83" s="29"/>
      <c r="I83" s="29"/>
      <c r="J83" s="27"/>
      <c r="K83" s="97"/>
      <c r="L83" s="27"/>
      <c r="M83" s="97">
        <v>1</v>
      </c>
      <c r="N83" s="105">
        <f>F83</f>
        <v>327.42595</v>
      </c>
      <c r="O83" s="98"/>
      <c r="P83" s="98"/>
      <c r="Q83" s="99"/>
      <c r="R83" s="98"/>
      <c r="S83" s="100"/>
    </row>
    <row r="84" spans="1:19" s="264" customFormat="1">
      <c r="A84" s="23" t="s">
        <v>338</v>
      </c>
      <c r="B84" s="93" t="s">
        <v>134</v>
      </c>
      <c r="C84" s="37" t="s">
        <v>82</v>
      </c>
      <c r="D84" s="27">
        <v>412.97827999999998</v>
      </c>
      <c r="E84" s="97">
        <v>1</v>
      </c>
      <c r="F84" s="105">
        <v>412.97827999999998</v>
      </c>
      <c r="G84" s="106"/>
      <c r="H84" s="29"/>
      <c r="I84" s="29"/>
      <c r="J84" s="27"/>
      <c r="K84" s="97"/>
      <c r="L84" s="27"/>
      <c r="M84" s="97">
        <v>1</v>
      </c>
      <c r="N84" s="105">
        <f>F84</f>
        <v>412.97827999999998</v>
      </c>
      <c r="O84" s="98"/>
      <c r="P84" s="98"/>
      <c r="Q84" s="99"/>
      <c r="R84" s="98"/>
      <c r="S84" s="100"/>
    </row>
    <row r="85" spans="1:19" s="264" customFormat="1">
      <c r="A85" s="23" t="s">
        <v>339</v>
      </c>
      <c r="B85" s="93" t="s">
        <v>135</v>
      </c>
      <c r="C85" s="37" t="s">
        <v>82</v>
      </c>
      <c r="D85" s="27">
        <v>147.787857</v>
      </c>
      <c r="E85" s="97">
        <v>1</v>
      </c>
      <c r="F85" s="105">
        <v>147.787857</v>
      </c>
      <c r="G85" s="106"/>
      <c r="H85" s="29"/>
      <c r="I85" s="97">
        <v>1</v>
      </c>
      <c r="J85" s="27">
        <f>F85</f>
        <v>147.787857</v>
      </c>
      <c r="K85" s="97"/>
      <c r="L85" s="27"/>
      <c r="M85" s="107"/>
      <c r="N85" s="29"/>
      <c r="O85" s="98"/>
      <c r="P85" s="98"/>
      <c r="Q85" s="99"/>
      <c r="R85" s="98"/>
      <c r="S85" s="100"/>
    </row>
    <row r="86" spans="1:19" s="264" customFormat="1">
      <c r="A86" s="23" t="s">
        <v>340</v>
      </c>
      <c r="B86" s="93" t="s">
        <v>136</v>
      </c>
      <c r="C86" s="37" t="s">
        <v>82</v>
      </c>
      <c r="D86" s="27">
        <v>442.36932300000001</v>
      </c>
      <c r="E86" s="97">
        <v>1</v>
      </c>
      <c r="F86" s="105">
        <v>442.36932300000001</v>
      </c>
      <c r="G86" s="106"/>
      <c r="H86" s="29"/>
      <c r="I86" s="29"/>
      <c r="J86" s="27"/>
      <c r="K86" s="97">
        <v>1</v>
      </c>
      <c r="L86" s="27">
        <f>442.369323</f>
        <v>442.36932300000001</v>
      </c>
      <c r="M86" s="107"/>
      <c r="N86" s="29"/>
      <c r="O86" s="98"/>
      <c r="P86" s="98"/>
      <c r="Q86" s="99"/>
      <c r="R86" s="98"/>
      <c r="S86" s="100"/>
    </row>
    <row r="87" spans="1:19" s="264" customFormat="1">
      <c r="A87" s="23" t="s">
        <v>341</v>
      </c>
      <c r="B87" s="93" t="s">
        <v>137</v>
      </c>
      <c r="C87" s="37" t="s">
        <v>82</v>
      </c>
      <c r="D87" s="27">
        <v>292.72117299999996</v>
      </c>
      <c r="E87" s="97">
        <v>1</v>
      </c>
      <c r="F87" s="105">
        <v>292.72117299999996</v>
      </c>
      <c r="G87" s="106"/>
      <c r="H87" s="29"/>
      <c r="I87" s="29"/>
      <c r="J87" s="105"/>
      <c r="K87" s="97">
        <v>1</v>
      </c>
      <c r="L87" s="105">
        <f>292.721173</f>
        <v>292.72117300000002</v>
      </c>
      <c r="M87" s="107"/>
      <c r="N87" s="29"/>
      <c r="O87" s="98"/>
      <c r="P87" s="98"/>
      <c r="Q87" s="99"/>
      <c r="R87" s="98"/>
      <c r="S87" s="100"/>
    </row>
    <row r="88" spans="1:19" s="264" customFormat="1">
      <c r="A88" s="23" t="s">
        <v>342</v>
      </c>
      <c r="B88" s="93" t="s">
        <v>138</v>
      </c>
      <c r="C88" s="37" t="s">
        <v>82</v>
      </c>
      <c r="D88" s="27">
        <v>281.87784999999997</v>
      </c>
      <c r="E88" s="97">
        <v>1</v>
      </c>
      <c r="F88" s="105">
        <v>281.87784999999997</v>
      </c>
      <c r="G88" s="106"/>
      <c r="H88" s="29"/>
      <c r="I88" s="29"/>
      <c r="J88" s="27"/>
      <c r="K88" s="97"/>
      <c r="L88" s="27"/>
      <c r="M88" s="97">
        <v>1</v>
      </c>
      <c r="N88" s="105">
        <f>F88</f>
        <v>281.87784999999997</v>
      </c>
      <c r="O88" s="98"/>
      <c r="P88" s="98"/>
      <c r="Q88" s="99"/>
      <c r="R88" s="98"/>
      <c r="S88" s="100"/>
    </row>
    <row r="89" spans="1:19" s="264" customFormat="1">
      <c r="A89" s="23" t="s">
        <v>343</v>
      </c>
      <c r="B89" s="93" t="s">
        <v>139</v>
      </c>
      <c r="C89" s="37" t="s">
        <v>82</v>
      </c>
      <c r="D89" s="27">
        <v>301.95999999999998</v>
      </c>
      <c r="E89" s="97">
        <v>1</v>
      </c>
      <c r="F89" s="105">
        <v>301.95999999999998</v>
      </c>
      <c r="G89" s="106"/>
      <c r="H89" s="29"/>
      <c r="I89" s="29"/>
      <c r="J89" s="27"/>
      <c r="K89" s="97">
        <v>1</v>
      </c>
      <c r="L89" s="27">
        <f>301.96</f>
        <v>301.95999999999998</v>
      </c>
      <c r="M89" s="107"/>
      <c r="N89" s="29"/>
      <c r="O89" s="98"/>
      <c r="P89" s="98"/>
      <c r="Q89" s="99"/>
      <c r="R89" s="98"/>
      <c r="S89" s="100"/>
    </row>
    <row r="90" spans="1:19" s="264" customFormat="1">
      <c r="A90" s="23" t="s">
        <v>344</v>
      </c>
      <c r="B90" s="93" t="s">
        <v>140</v>
      </c>
      <c r="C90" s="37" t="s">
        <v>82</v>
      </c>
      <c r="D90" s="27">
        <v>138.440403</v>
      </c>
      <c r="E90" s="97">
        <v>1</v>
      </c>
      <c r="F90" s="105">
        <v>138.440403</v>
      </c>
      <c r="G90" s="106"/>
      <c r="H90" s="29"/>
      <c r="I90" s="29"/>
      <c r="J90" s="27"/>
      <c r="K90" s="97"/>
      <c r="L90" s="27"/>
      <c r="M90" s="97">
        <v>1</v>
      </c>
      <c r="N90" s="105">
        <f>F90</f>
        <v>138.440403</v>
      </c>
      <c r="O90" s="98"/>
      <c r="P90" s="98"/>
      <c r="Q90" s="99"/>
      <c r="R90" s="98"/>
      <c r="S90" s="100"/>
    </row>
    <row r="91" spans="1:19" s="264" customFormat="1" ht="105">
      <c r="A91" s="62" t="s">
        <v>291</v>
      </c>
      <c r="B91" s="226" t="s">
        <v>86</v>
      </c>
      <c r="C91" s="53" t="s">
        <v>82</v>
      </c>
      <c r="D91" s="27">
        <v>1894</v>
      </c>
      <c r="E91" s="71">
        <v>1</v>
      </c>
      <c r="F91" s="27">
        <v>1894</v>
      </c>
      <c r="G91" s="72"/>
      <c r="H91" s="30"/>
      <c r="I91" s="30"/>
      <c r="J91" s="30"/>
      <c r="K91" s="66"/>
      <c r="L91" s="66"/>
      <c r="M91" s="40">
        <v>1</v>
      </c>
      <c r="N91" s="30">
        <f>F91-J91-L91</f>
        <v>1894</v>
      </c>
      <c r="O91" s="35" t="s">
        <v>27</v>
      </c>
      <c r="P91" s="35"/>
      <c r="Q91" s="70"/>
      <c r="R91" s="69"/>
      <c r="S91" s="69"/>
    </row>
    <row r="92" spans="1:19" s="262" customFormat="1" ht="96.75" customHeight="1">
      <c r="A92" s="14" t="s">
        <v>141</v>
      </c>
      <c r="B92" s="15" t="s">
        <v>142</v>
      </c>
      <c r="C92" s="15"/>
      <c r="D92" s="59"/>
      <c r="E92" s="16"/>
      <c r="F92" s="17">
        <f>SUM(F93:F110)</f>
        <v>1496.5821000000001</v>
      </c>
      <c r="G92" s="111"/>
      <c r="H92" s="15">
        <f>SUM(H93:H110)</f>
        <v>0</v>
      </c>
      <c r="I92" s="15"/>
      <c r="J92" s="15">
        <f>SUM(J93:J110)</f>
        <v>1145.7536800000003</v>
      </c>
      <c r="K92" s="15"/>
      <c r="L92" s="15">
        <f>SUM(L93:L110)</f>
        <v>0</v>
      </c>
      <c r="M92" s="15"/>
      <c r="N92" s="15">
        <f>SUM(N93:N110)</f>
        <v>350.82841999999994</v>
      </c>
      <c r="O92" s="112" t="s">
        <v>143</v>
      </c>
      <c r="P92" s="20"/>
      <c r="Q92" s="21"/>
      <c r="R92" s="22"/>
      <c r="S92" s="242"/>
    </row>
    <row r="93" spans="1:19" s="262" customFormat="1" ht="52.5">
      <c r="A93" s="113" t="s">
        <v>144</v>
      </c>
      <c r="B93" s="114" t="s">
        <v>145</v>
      </c>
      <c r="C93" s="53" t="s">
        <v>26</v>
      </c>
      <c r="D93" s="27">
        <f t="shared" ref="D93:D109" si="21">F93/E93</f>
        <v>149.07631578947368</v>
      </c>
      <c r="E93" s="27">
        <v>0.38</v>
      </c>
      <c r="F93" s="27">
        <v>56.649000000000001</v>
      </c>
      <c r="G93" s="115"/>
      <c r="H93" s="29"/>
      <c r="I93" s="30"/>
      <c r="J93" s="30">
        <f>F93*0.8</f>
        <v>45.319200000000002</v>
      </c>
      <c r="K93" s="30"/>
      <c r="L93" s="29"/>
      <c r="M93" s="30">
        <f>E93</f>
        <v>0.38</v>
      </c>
      <c r="N93" s="30">
        <f>F93-J93</f>
        <v>11.329799999999999</v>
      </c>
      <c r="O93" s="98"/>
      <c r="P93" s="116"/>
      <c r="Q93" s="34"/>
      <c r="R93" s="33"/>
      <c r="S93" s="70"/>
    </row>
    <row r="94" spans="1:19" s="262" customFormat="1" ht="52.5">
      <c r="A94" s="113" t="s">
        <v>146</v>
      </c>
      <c r="B94" s="114" t="s">
        <v>147</v>
      </c>
      <c r="C94" s="53" t="s">
        <v>26</v>
      </c>
      <c r="D94" s="27">
        <f t="shared" si="21"/>
        <v>419.21428571428567</v>
      </c>
      <c r="E94" s="27">
        <v>0.14000000000000001</v>
      </c>
      <c r="F94" s="27">
        <v>58.69</v>
      </c>
      <c r="G94" s="115"/>
      <c r="H94" s="29"/>
      <c r="I94" s="30"/>
      <c r="J94" s="30">
        <f t="shared" ref="J94:J109" si="22">F94*0.8</f>
        <v>46.951999999999998</v>
      </c>
      <c r="K94" s="30"/>
      <c r="L94" s="29"/>
      <c r="M94" s="30">
        <f t="shared" ref="M94:M110" si="23">E94</f>
        <v>0.14000000000000001</v>
      </c>
      <c r="N94" s="30">
        <f t="shared" ref="N94:N110" si="24">F94-J94</f>
        <v>11.738</v>
      </c>
      <c r="O94" s="98"/>
      <c r="P94" s="116"/>
      <c r="Q94" s="34"/>
      <c r="R94" s="33"/>
      <c r="S94" s="70"/>
    </row>
    <row r="95" spans="1:19" s="262" customFormat="1" ht="52.5">
      <c r="A95" s="113" t="s">
        <v>148</v>
      </c>
      <c r="B95" s="114" t="s">
        <v>149</v>
      </c>
      <c r="C95" s="53" t="s">
        <v>26</v>
      </c>
      <c r="D95" s="27">
        <f t="shared" si="21"/>
        <v>711.4</v>
      </c>
      <c r="E95" s="27">
        <v>0.08</v>
      </c>
      <c r="F95" s="27">
        <v>56.911999999999999</v>
      </c>
      <c r="G95" s="115"/>
      <c r="H95" s="29"/>
      <c r="I95" s="30"/>
      <c r="J95" s="30">
        <f t="shared" si="22"/>
        <v>45.529600000000002</v>
      </c>
      <c r="K95" s="30"/>
      <c r="L95" s="29"/>
      <c r="M95" s="30">
        <f t="shared" si="23"/>
        <v>0.08</v>
      </c>
      <c r="N95" s="30">
        <f t="shared" si="24"/>
        <v>11.382399999999997</v>
      </c>
      <c r="O95" s="98"/>
      <c r="P95" s="116"/>
      <c r="Q95" s="34"/>
      <c r="R95" s="33"/>
      <c r="S95" s="70"/>
    </row>
    <row r="96" spans="1:19" s="262" customFormat="1" ht="52.5">
      <c r="A96" s="113" t="s">
        <v>150</v>
      </c>
      <c r="B96" s="114" t="s">
        <v>151</v>
      </c>
      <c r="C96" s="53" t="s">
        <v>26</v>
      </c>
      <c r="D96" s="27">
        <f t="shared" si="21"/>
        <v>228.25</v>
      </c>
      <c r="E96" s="27">
        <v>0.24</v>
      </c>
      <c r="F96" s="27">
        <v>54.78</v>
      </c>
      <c r="G96" s="115"/>
      <c r="H96" s="29"/>
      <c r="I96" s="30"/>
      <c r="J96" s="30">
        <f t="shared" si="22"/>
        <v>43.824000000000005</v>
      </c>
      <c r="K96" s="30"/>
      <c r="L96" s="29"/>
      <c r="M96" s="30">
        <f t="shared" si="23"/>
        <v>0.24</v>
      </c>
      <c r="N96" s="30">
        <f t="shared" si="24"/>
        <v>10.955999999999996</v>
      </c>
      <c r="O96" s="98"/>
      <c r="P96" s="116"/>
      <c r="Q96" s="34"/>
      <c r="R96" s="33"/>
      <c r="S96" s="70"/>
    </row>
    <row r="97" spans="1:19" s="262" customFormat="1" ht="78.75">
      <c r="A97" s="113" t="s">
        <v>152</v>
      </c>
      <c r="B97" s="114" t="s">
        <v>153</v>
      </c>
      <c r="C97" s="53" t="s">
        <v>26</v>
      </c>
      <c r="D97" s="27">
        <f t="shared" si="21"/>
        <v>581.29999999999995</v>
      </c>
      <c r="E97" s="27">
        <v>0.1</v>
      </c>
      <c r="F97" s="27">
        <v>58.13</v>
      </c>
      <c r="G97" s="115"/>
      <c r="H97" s="29"/>
      <c r="I97" s="30"/>
      <c r="J97" s="30">
        <f t="shared" si="22"/>
        <v>46.504000000000005</v>
      </c>
      <c r="K97" s="30"/>
      <c r="L97" s="29"/>
      <c r="M97" s="30">
        <f t="shared" si="23"/>
        <v>0.1</v>
      </c>
      <c r="N97" s="30">
        <f t="shared" si="24"/>
        <v>11.625999999999998</v>
      </c>
      <c r="O97" s="98"/>
      <c r="P97" s="116"/>
      <c r="Q97" s="34"/>
      <c r="R97" s="33"/>
      <c r="S97" s="70"/>
    </row>
    <row r="98" spans="1:19" s="262" customFormat="1" ht="81.75" customHeight="1">
      <c r="A98" s="113" t="s">
        <v>154</v>
      </c>
      <c r="B98" s="117" t="s">
        <v>155</v>
      </c>
      <c r="C98" s="53" t="s">
        <v>26</v>
      </c>
      <c r="D98" s="27">
        <f t="shared" si="21"/>
        <v>60.445434298440979</v>
      </c>
      <c r="E98" s="27">
        <v>1.347</v>
      </c>
      <c r="F98" s="27">
        <v>81.42</v>
      </c>
      <c r="G98" s="115"/>
      <c r="H98" s="29"/>
      <c r="I98" s="30"/>
      <c r="J98" s="30">
        <f t="shared" si="22"/>
        <v>65.13600000000001</v>
      </c>
      <c r="K98" s="30"/>
      <c r="L98" s="29"/>
      <c r="M98" s="30">
        <f t="shared" si="23"/>
        <v>1.347</v>
      </c>
      <c r="N98" s="30">
        <f t="shared" si="24"/>
        <v>16.283999999999992</v>
      </c>
      <c r="O98" s="98"/>
      <c r="P98" s="116"/>
      <c r="Q98" s="34"/>
      <c r="R98" s="33"/>
      <c r="S98" s="70"/>
    </row>
    <row r="99" spans="1:19" s="262" customFormat="1" ht="78.75">
      <c r="A99" s="113" t="s">
        <v>156</v>
      </c>
      <c r="B99" s="114" t="s">
        <v>157</v>
      </c>
      <c r="C99" s="53" t="s">
        <v>26</v>
      </c>
      <c r="D99" s="27">
        <f t="shared" si="21"/>
        <v>100.97142857142859</v>
      </c>
      <c r="E99" s="27">
        <v>0.7</v>
      </c>
      <c r="F99" s="27">
        <v>70.680000000000007</v>
      </c>
      <c r="G99" s="115"/>
      <c r="H99" s="29"/>
      <c r="I99" s="30"/>
      <c r="J99" s="30">
        <f t="shared" si="22"/>
        <v>56.544000000000011</v>
      </c>
      <c r="K99" s="30"/>
      <c r="L99" s="29"/>
      <c r="M99" s="30">
        <f t="shared" si="23"/>
        <v>0.7</v>
      </c>
      <c r="N99" s="30">
        <f t="shared" si="24"/>
        <v>14.135999999999996</v>
      </c>
      <c r="O99" s="98"/>
      <c r="P99" s="116"/>
      <c r="Q99" s="34"/>
      <c r="R99" s="33"/>
      <c r="S99" s="70"/>
    </row>
    <row r="100" spans="1:19" s="262" customFormat="1" ht="78.75">
      <c r="A100" s="113" t="s">
        <v>158</v>
      </c>
      <c r="B100" s="114" t="s">
        <v>159</v>
      </c>
      <c r="C100" s="53" t="s">
        <v>26</v>
      </c>
      <c r="D100" s="27">
        <f t="shared" si="21"/>
        <v>92.728155339805824</v>
      </c>
      <c r="E100" s="27">
        <v>0.61799999999999999</v>
      </c>
      <c r="F100" s="27">
        <v>57.305999999999997</v>
      </c>
      <c r="G100" s="115"/>
      <c r="H100" s="29"/>
      <c r="I100" s="30"/>
      <c r="J100" s="30">
        <f t="shared" si="22"/>
        <v>45.844799999999999</v>
      </c>
      <c r="K100" s="30"/>
      <c r="L100" s="29"/>
      <c r="M100" s="30">
        <f t="shared" si="23"/>
        <v>0.61799999999999999</v>
      </c>
      <c r="N100" s="30">
        <f t="shared" si="24"/>
        <v>11.461199999999998</v>
      </c>
      <c r="O100" s="98"/>
      <c r="P100" s="116"/>
      <c r="Q100" s="34"/>
      <c r="R100" s="33"/>
      <c r="S100" s="70"/>
    </row>
    <row r="101" spans="1:19" s="262" customFormat="1" ht="78.75">
      <c r="A101" s="113" t="s">
        <v>160</v>
      </c>
      <c r="B101" s="114" t="s">
        <v>161</v>
      </c>
      <c r="C101" s="53" t="s">
        <v>32</v>
      </c>
      <c r="D101" s="27">
        <f t="shared" si="21"/>
        <v>56.573</v>
      </c>
      <c r="E101" s="104">
        <v>1</v>
      </c>
      <c r="F101" s="27">
        <v>56.573</v>
      </c>
      <c r="G101" s="115"/>
      <c r="H101" s="29"/>
      <c r="I101" s="30"/>
      <c r="J101" s="30">
        <f t="shared" si="22"/>
        <v>45.258400000000002</v>
      </c>
      <c r="K101" s="30"/>
      <c r="L101" s="29"/>
      <c r="M101" s="40">
        <f t="shared" si="23"/>
        <v>1</v>
      </c>
      <c r="N101" s="30">
        <f t="shared" si="24"/>
        <v>11.314599999999999</v>
      </c>
      <c r="O101" s="98"/>
      <c r="P101" s="116"/>
      <c r="Q101" s="34"/>
      <c r="R101" s="33"/>
      <c r="S101" s="70"/>
    </row>
    <row r="102" spans="1:19" s="262" customFormat="1" ht="78.75">
      <c r="A102" s="113" t="s">
        <v>162</v>
      </c>
      <c r="B102" s="114" t="s">
        <v>163</v>
      </c>
      <c r="C102" s="53" t="s">
        <v>32</v>
      </c>
      <c r="D102" s="27">
        <f t="shared" si="21"/>
        <v>124.1057</v>
      </c>
      <c r="E102" s="104">
        <v>1</v>
      </c>
      <c r="F102" s="27">
        <v>124.1057</v>
      </c>
      <c r="G102" s="115"/>
      <c r="H102" s="29"/>
      <c r="I102" s="30"/>
      <c r="J102" s="30">
        <f t="shared" si="22"/>
        <v>99.284559999999999</v>
      </c>
      <c r="K102" s="30"/>
      <c r="L102" s="29"/>
      <c r="M102" s="40">
        <f t="shared" si="23"/>
        <v>1</v>
      </c>
      <c r="N102" s="30">
        <f t="shared" si="24"/>
        <v>24.82114</v>
      </c>
      <c r="O102" s="98"/>
      <c r="P102" s="116"/>
      <c r="Q102" s="34"/>
      <c r="R102" s="33"/>
      <c r="S102" s="70"/>
    </row>
    <row r="103" spans="1:19" s="262" customFormat="1" ht="52.5">
      <c r="A103" s="113" t="s">
        <v>164</v>
      </c>
      <c r="B103" s="114" t="s">
        <v>165</v>
      </c>
      <c r="C103" s="53" t="s">
        <v>26</v>
      </c>
      <c r="D103" s="27">
        <f t="shared" si="21"/>
        <v>193.00655737704918</v>
      </c>
      <c r="E103" s="27">
        <v>0.30499999999999999</v>
      </c>
      <c r="F103" s="27">
        <v>58.866999999999997</v>
      </c>
      <c r="G103" s="115"/>
      <c r="H103" s="29"/>
      <c r="I103" s="30"/>
      <c r="J103" s="30">
        <f t="shared" si="22"/>
        <v>47.093600000000002</v>
      </c>
      <c r="K103" s="30"/>
      <c r="L103" s="29"/>
      <c r="M103" s="30">
        <f t="shared" si="23"/>
        <v>0.30499999999999999</v>
      </c>
      <c r="N103" s="30">
        <f t="shared" si="24"/>
        <v>11.773399999999995</v>
      </c>
      <c r="O103" s="98"/>
      <c r="P103" s="116"/>
      <c r="Q103" s="34"/>
      <c r="R103" s="33"/>
      <c r="S103" s="70"/>
    </row>
    <row r="104" spans="1:19" s="262" customFormat="1" ht="52.5">
      <c r="A104" s="113" t="s">
        <v>166</v>
      </c>
      <c r="B104" s="114" t="s">
        <v>167</v>
      </c>
      <c r="C104" s="53" t="s">
        <v>26</v>
      </c>
      <c r="D104" s="27">
        <f t="shared" si="21"/>
        <v>141.31666666666669</v>
      </c>
      <c r="E104" s="27">
        <v>0.6</v>
      </c>
      <c r="F104" s="27">
        <v>84.79</v>
      </c>
      <c r="G104" s="115"/>
      <c r="H104" s="29"/>
      <c r="I104" s="30"/>
      <c r="J104" s="30">
        <f t="shared" si="22"/>
        <v>67.832000000000008</v>
      </c>
      <c r="K104" s="30"/>
      <c r="L104" s="29"/>
      <c r="M104" s="30">
        <f t="shared" si="23"/>
        <v>0.6</v>
      </c>
      <c r="N104" s="30">
        <f t="shared" si="24"/>
        <v>16.957999999999998</v>
      </c>
      <c r="O104" s="98"/>
      <c r="P104" s="116"/>
      <c r="Q104" s="34"/>
      <c r="R104" s="33"/>
      <c r="S104" s="70"/>
    </row>
    <row r="105" spans="1:19" s="262" customFormat="1" ht="78.75">
      <c r="A105" s="113" t="s">
        <v>168</v>
      </c>
      <c r="B105" s="114" t="s">
        <v>169</v>
      </c>
      <c r="C105" s="53" t="s">
        <v>32</v>
      </c>
      <c r="D105" s="27">
        <f t="shared" si="21"/>
        <v>103.995</v>
      </c>
      <c r="E105" s="104">
        <v>1</v>
      </c>
      <c r="F105" s="27">
        <v>103.995</v>
      </c>
      <c r="G105" s="115"/>
      <c r="H105" s="29"/>
      <c r="I105" s="30"/>
      <c r="J105" s="30">
        <f t="shared" si="22"/>
        <v>83.196000000000012</v>
      </c>
      <c r="K105" s="30"/>
      <c r="L105" s="29"/>
      <c r="M105" s="40">
        <f t="shared" si="23"/>
        <v>1</v>
      </c>
      <c r="N105" s="30">
        <f t="shared" si="24"/>
        <v>20.798999999999992</v>
      </c>
      <c r="O105" s="98"/>
      <c r="P105" s="116"/>
      <c r="Q105" s="34"/>
      <c r="R105" s="33"/>
      <c r="S105" s="70"/>
    </row>
    <row r="106" spans="1:19" s="262" customFormat="1" ht="78.75">
      <c r="A106" s="113" t="s">
        <v>170</v>
      </c>
      <c r="B106" s="114" t="s">
        <v>171</v>
      </c>
      <c r="C106" s="53" t="s">
        <v>26</v>
      </c>
      <c r="D106" s="27">
        <f t="shared" si="21"/>
        <v>329.66666666666669</v>
      </c>
      <c r="E106" s="27">
        <v>0.15</v>
      </c>
      <c r="F106" s="27">
        <v>49.45</v>
      </c>
      <c r="G106" s="115"/>
      <c r="H106" s="29"/>
      <c r="I106" s="30"/>
      <c r="J106" s="30">
        <f t="shared" si="22"/>
        <v>39.56</v>
      </c>
      <c r="K106" s="30"/>
      <c r="L106" s="29"/>
      <c r="M106" s="30">
        <f t="shared" si="23"/>
        <v>0.15</v>
      </c>
      <c r="N106" s="30">
        <f t="shared" si="24"/>
        <v>9.89</v>
      </c>
      <c r="O106" s="98"/>
      <c r="P106" s="116"/>
      <c r="Q106" s="34"/>
      <c r="R106" s="33"/>
      <c r="S106" s="70"/>
    </row>
    <row r="107" spans="1:19" s="262" customFormat="1" ht="105">
      <c r="A107" s="113" t="s">
        <v>172</v>
      </c>
      <c r="B107" s="114" t="s">
        <v>173</v>
      </c>
      <c r="C107" s="53" t="s">
        <v>32</v>
      </c>
      <c r="D107" s="27">
        <f t="shared" si="21"/>
        <v>135.55340000000001</v>
      </c>
      <c r="E107" s="104">
        <v>1</v>
      </c>
      <c r="F107" s="27">
        <v>135.55340000000001</v>
      </c>
      <c r="G107" s="115"/>
      <c r="H107" s="29"/>
      <c r="I107" s="30"/>
      <c r="J107" s="30">
        <f t="shared" si="22"/>
        <v>108.44272000000001</v>
      </c>
      <c r="K107" s="30"/>
      <c r="L107" s="29"/>
      <c r="M107" s="40">
        <f t="shared" si="23"/>
        <v>1</v>
      </c>
      <c r="N107" s="30">
        <f t="shared" si="24"/>
        <v>27.110680000000002</v>
      </c>
      <c r="O107" s="98"/>
      <c r="P107" s="116"/>
      <c r="Q107" s="34"/>
      <c r="R107" s="33"/>
      <c r="S107" s="70"/>
    </row>
    <row r="108" spans="1:19" s="262" customFormat="1" ht="78.75">
      <c r="A108" s="113" t="s">
        <v>174</v>
      </c>
      <c r="B108" s="114" t="s">
        <v>175</v>
      </c>
      <c r="C108" s="53" t="s">
        <v>32</v>
      </c>
      <c r="D108" s="27">
        <f t="shared" si="21"/>
        <v>163.97300000000001</v>
      </c>
      <c r="E108" s="104">
        <v>1</v>
      </c>
      <c r="F108" s="27">
        <v>163.97300000000001</v>
      </c>
      <c r="G108" s="115"/>
      <c r="H108" s="29"/>
      <c r="I108" s="30"/>
      <c r="J108" s="30">
        <f t="shared" si="22"/>
        <v>131.17840000000001</v>
      </c>
      <c r="K108" s="30"/>
      <c r="L108" s="29"/>
      <c r="M108" s="40">
        <f t="shared" si="23"/>
        <v>1</v>
      </c>
      <c r="N108" s="30">
        <f t="shared" si="24"/>
        <v>32.794600000000003</v>
      </c>
      <c r="O108" s="98"/>
      <c r="P108" s="116"/>
      <c r="Q108" s="34"/>
      <c r="R108" s="33"/>
      <c r="S108" s="70"/>
    </row>
    <row r="109" spans="1:19" s="262" customFormat="1" ht="105">
      <c r="A109" s="113" t="s">
        <v>176</v>
      </c>
      <c r="B109" s="114" t="s">
        <v>177</v>
      </c>
      <c r="C109" s="53" t="s">
        <v>32</v>
      </c>
      <c r="D109" s="27">
        <f t="shared" si="21"/>
        <v>160.31800000000001</v>
      </c>
      <c r="E109" s="104">
        <v>1</v>
      </c>
      <c r="F109" s="27">
        <v>160.31800000000001</v>
      </c>
      <c r="G109" s="115"/>
      <c r="H109" s="29"/>
      <c r="I109" s="30"/>
      <c r="J109" s="30">
        <f t="shared" si="22"/>
        <v>128.2544</v>
      </c>
      <c r="K109" s="30"/>
      <c r="L109" s="29"/>
      <c r="M109" s="40">
        <f t="shared" si="23"/>
        <v>1</v>
      </c>
      <c r="N109" s="30">
        <f t="shared" si="24"/>
        <v>32.063600000000008</v>
      </c>
      <c r="O109" s="98"/>
      <c r="P109" s="116"/>
      <c r="Q109" s="34"/>
      <c r="R109" s="33"/>
      <c r="S109" s="70"/>
    </row>
    <row r="110" spans="1:19" s="262" customFormat="1" ht="78.75">
      <c r="A110" s="113" t="s">
        <v>178</v>
      </c>
      <c r="B110" s="227" t="s">
        <v>179</v>
      </c>
      <c r="C110" s="53" t="s">
        <v>32</v>
      </c>
      <c r="D110" s="27">
        <v>64.39</v>
      </c>
      <c r="E110" s="104">
        <v>1</v>
      </c>
      <c r="F110" s="27">
        <v>64.39</v>
      </c>
      <c r="G110" s="115"/>
      <c r="H110" s="29"/>
      <c r="I110" s="30"/>
      <c r="J110" s="30"/>
      <c r="K110" s="30"/>
      <c r="L110" s="29"/>
      <c r="M110" s="40">
        <f t="shared" si="23"/>
        <v>1</v>
      </c>
      <c r="N110" s="30">
        <f t="shared" si="24"/>
        <v>64.39</v>
      </c>
      <c r="O110" s="98"/>
      <c r="P110" s="116"/>
      <c r="Q110" s="34"/>
      <c r="R110" s="33"/>
      <c r="S110" s="70"/>
    </row>
    <row r="111" spans="1:19" s="264" customFormat="1" ht="25.5">
      <c r="A111" s="243"/>
      <c r="B111" s="244" t="s">
        <v>180</v>
      </c>
      <c r="C111" s="118"/>
      <c r="D111" s="119"/>
      <c r="E111" s="119"/>
      <c r="F111" s="119">
        <f>F92+F7</f>
        <v>37798.568944700004</v>
      </c>
      <c r="G111" s="120"/>
      <c r="H111" s="119">
        <f>H92+H7</f>
        <v>4704.5933900000009</v>
      </c>
      <c r="I111" s="119"/>
      <c r="J111" s="119">
        <f>J92+J7</f>
        <v>7615.6973382000015</v>
      </c>
      <c r="K111" s="119"/>
      <c r="L111" s="119">
        <f>L92+L7</f>
        <v>6851.5559354999987</v>
      </c>
      <c r="M111" s="119"/>
      <c r="N111" s="119">
        <f>N92+N7</f>
        <v>18626.722281000002</v>
      </c>
      <c r="O111" s="121"/>
      <c r="P111" s="122"/>
      <c r="Q111" s="122"/>
      <c r="R111" s="123"/>
      <c r="S111" s="124"/>
    </row>
    <row r="112" spans="1:19" s="262" customFormat="1">
      <c r="A112" s="236" t="s">
        <v>181</v>
      </c>
      <c r="B112" s="245"/>
      <c r="C112" s="245"/>
      <c r="D112" s="246"/>
      <c r="E112" s="213"/>
      <c r="F112" s="212"/>
      <c r="G112" s="211"/>
      <c r="H112" s="212"/>
      <c r="I112" s="212"/>
      <c r="J112" s="212"/>
      <c r="K112" s="212"/>
      <c r="L112" s="212"/>
      <c r="M112" s="212"/>
      <c r="N112" s="212"/>
      <c r="O112" s="247"/>
      <c r="P112" s="248"/>
      <c r="Q112" s="125"/>
      <c r="R112" s="249"/>
      <c r="S112" s="248"/>
    </row>
    <row r="113" spans="1:19" s="262" customFormat="1">
      <c r="A113" s="126" t="s">
        <v>182</v>
      </c>
      <c r="B113" s="127" t="s">
        <v>183</v>
      </c>
      <c r="C113" s="127"/>
      <c r="D113" s="128"/>
      <c r="E113" s="129"/>
      <c r="F113" s="130"/>
      <c r="G113" s="131"/>
      <c r="H113" s="128"/>
      <c r="I113" s="128"/>
      <c r="J113" s="128"/>
      <c r="K113" s="128"/>
      <c r="L113" s="128"/>
      <c r="M113" s="128"/>
      <c r="N113" s="128"/>
      <c r="O113" s="132"/>
      <c r="P113" s="132"/>
      <c r="Q113" s="133"/>
      <c r="R113" s="134"/>
      <c r="S113" s="134"/>
    </row>
    <row r="114" spans="1:19" s="262" customFormat="1">
      <c r="A114" s="150" t="s">
        <v>184</v>
      </c>
      <c r="B114" s="135" t="s">
        <v>185</v>
      </c>
      <c r="C114" s="136"/>
      <c r="D114" s="137"/>
      <c r="E114" s="137"/>
      <c r="F114" s="138">
        <f>F115+F116</f>
        <v>112.85</v>
      </c>
      <c r="G114" s="138">
        <f t="shared" ref="G114:N114" si="25">G115+G116</f>
        <v>0</v>
      </c>
      <c r="H114" s="138">
        <f t="shared" si="25"/>
        <v>0</v>
      </c>
      <c r="I114" s="138">
        <f t="shared" si="25"/>
        <v>0</v>
      </c>
      <c r="J114" s="138">
        <f t="shared" si="25"/>
        <v>0</v>
      </c>
      <c r="K114" s="138"/>
      <c r="L114" s="138">
        <f t="shared" si="25"/>
        <v>112.85</v>
      </c>
      <c r="M114" s="138">
        <f t="shared" si="25"/>
        <v>0</v>
      </c>
      <c r="N114" s="138">
        <f t="shared" si="25"/>
        <v>0</v>
      </c>
      <c r="O114" s="139"/>
      <c r="P114" s="139"/>
      <c r="Q114" s="140"/>
      <c r="R114" s="141"/>
      <c r="S114" s="141"/>
    </row>
    <row r="115" spans="1:19" s="262" customFormat="1" ht="52.5">
      <c r="A115" s="151" t="s">
        <v>186</v>
      </c>
      <c r="B115" s="142" t="s">
        <v>187</v>
      </c>
      <c r="C115" s="51" t="s">
        <v>32</v>
      </c>
      <c r="D115" s="30">
        <v>1.04</v>
      </c>
      <c r="E115" s="40">
        <v>100</v>
      </c>
      <c r="F115" s="30">
        <f>E115*D115</f>
        <v>104</v>
      </c>
      <c r="G115" s="143"/>
      <c r="H115" s="144"/>
      <c r="I115" s="144"/>
      <c r="J115" s="144"/>
      <c r="K115" s="145">
        <f>E115</f>
        <v>100</v>
      </c>
      <c r="L115" s="144">
        <f>F115</f>
        <v>104</v>
      </c>
      <c r="M115" s="144"/>
      <c r="N115" s="144"/>
      <c r="O115" s="146"/>
      <c r="P115" s="146"/>
      <c r="Q115" s="147"/>
      <c r="R115" s="148"/>
      <c r="S115" s="148"/>
    </row>
    <row r="116" spans="1:19" s="262" customFormat="1" ht="52.5">
      <c r="A116" s="151" t="s">
        <v>188</v>
      </c>
      <c r="B116" s="142" t="s">
        <v>189</v>
      </c>
      <c r="C116" s="51" t="s">
        <v>32</v>
      </c>
      <c r="D116" s="30">
        <v>1.77</v>
      </c>
      <c r="E116" s="40">
        <v>5</v>
      </c>
      <c r="F116" s="30">
        <f t="shared" ref="F116" si="26">E116*D116</f>
        <v>8.85</v>
      </c>
      <c r="G116" s="143"/>
      <c r="H116" s="144"/>
      <c r="I116" s="144"/>
      <c r="J116" s="144"/>
      <c r="K116" s="145">
        <f>E116</f>
        <v>5</v>
      </c>
      <c r="L116" s="144">
        <f>F116</f>
        <v>8.85</v>
      </c>
      <c r="M116" s="144"/>
      <c r="N116" s="144"/>
      <c r="O116" s="146"/>
      <c r="P116" s="146"/>
      <c r="Q116" s="147"/>
      <c r="R116" s="148"/>
      <c r="S116" s="148"/>
    </row>
    <row r="117" spans="1:19" s="262" customFormat="1">
      <c r="A117" s="150" t="s">
        <v>190</v>
      </c>
      <c r="B117" s="135" t="s">
        <v>191</v>
      </c>
      <c r="C117" s="136"/>
      <c r="D117" s="137"/>
      <c r="E117" s="137"/>
      <c r="F117" s="138">
        <f>F118+F119+F120</f>
        <v>7993.0199999999995</v>
      </c>
      <c r="G117" s="138">
        <f t="shared" ref="G117:N117" si="27">G118+G119+G120</f>
        <v>0</v>
      </c>
      <c r="H117" s="138">
        <f t="shared" si="27"/>
        <v>2123.4059999999999</v>
      </c>
      <c r="I117" s="138">
        <f t="shared" si="27"/>
        <v>0</v>
      </c>
      <c r="J117" s="138">
        <f t="shared" si="27"/>
        <v>0</v>
      </c>
      <c r="K117" s="138">
        <f t="shared" si="27"/>
        <v>5293</v>
      </c>
      <c r="L117" s="138">
        <f t="shared" si="27"/>
        <v>5869.6139999999996</v>
      </c>
      <c r="M117" s="138">
        <f t="shared" si="27"/>
        <v>0</v>
      </c>
      <c r="N117" s="138">
        <f t="shared" si="27"/>
        <v>0</v>
      </c>
      <c r="O117" s="139"/>
      <c r="P117" s="141"/>
      <c r="Q117" s="140"/>
      <c r="R117" s="141"/>
      <c r="S117" s="141"/>
    </row>
    <row r="118" spans="1:19" s="262" customFormat="1">
      <c r="A118" s="151" t="s">
        <v>192</v>
      </c>
      <c r="B118" s="142" t="s">
        <v>193</v>
      </c>
      <c r="C118" s="51" t="s">
        <v>32</v>
      </c>
      <c r="D118" s="30">
        <v>1.38</v>
      </c>
      <c r="E118" s="40">
        <f>5436-307</f>
        <v>5129</v>
      </c>
      <c r="F118" s="30">
        <f>D118*E118</f>
        <v>7078.0199999999995</v>
      </c>
      <c r="G118" s="143"/>
      <c r="H118" s="144">
        <f>F118*0.3</f>
        <v>2123.4059999999999</v>
      </c>
      <c r="I118" s="144"/>
      <c r="J118" s="144"/>
      <c r="K118" s="145">
        <f>E118</f>
        <v>5129</v>
      </c>
      <c r="L118" s="144">
        <f>F118-H118-J118</f>
        <v>4954.6139999999996</v>
      </c>
      <c r="M118" s="144"/>
      <c r="N118" s="144"/>
      <c r="O118" s="146"/>
      <c r="P118" s="146"/>
      <c r="Q118" s="147"/>
      <c r="R118" s="148"/>
      <c r="S118" s="148"/>
    </row>
    <row r="119" spans="1:19" s="262" customFormat="1">
      <c r="A119" s="151" t="s">
        <v>194</v>
      </c>
      <c r="B119" s="142" t="s">
        <v>195</v>
      </c>
      <c r="C119" s="51" t="s">
        <v>32</v>
      </c>
      <c r="D119" s="30">
        <v>2.97</v>
      </c>
      <c r="E119" s="40">
        <v>140</v>
      </c>
      <c r="F119" s="30">
        <f t="shared" ref="F119:F120" si="28">D119*E119</f>
        <v>415.8</v>
      </c>
      <c r="G119" s="143"/>
      <c r="H119" s="144"/>
      <c r="I119" s="144"/>
      <c r="J119" s="144"/>
      <c r="K119" s="145">
        <f t="shared" ref="K119:L120" si="29">E119</f>
        <v>140</v>
      </c>
      <c r="L119" s="144">
        <f t="shared" si="29"/>
        <v>415.8</v>
      </c>
      <c r="M119" s="144"/>
      <c r="N119" s="144"/>
      <c r="O119" s="146"/>
      <c r="P119" s="146"/>
      <c r="Q119" s="147"/>
      <c r="R119" s="148"/>
      <c r="S119" s="148"/>
    </row>
    <row r="120" spans="1:19" s="262" customFormat="1">
      <c r="A120" s="151" t="s">
        <v>196</v>
      </c>
      <c r="B120" s="142" t="s">
        <v>197</v>
      </c>
      <c r="C120" s="51" t="s">
        <v>32</v>
      </c>
      <c r="D120" s="30">
        <v>20.8</v>
      </c>
      <c r="E120" s="40">
        <v>24</v>
      </c>
      <c r="F120" s="30">
        <f t="shared" si="28"/>
        <v>499.20000000000005</v>
      </c>
      <c r="G120" s="143"/>
      <c r="H120" s="144"/>
      <c r="I120" s="149"/>
      <c r="J120" s="144"/>
      <c r="K120" s="145">
        <f t="shared" si="29"/>
        <v>24</v>
      </c>
      <c r="L120" s="144">
        <f t="shared" si="29"/>
        <v>499.20000000000005</v>
      </c>
      <c r="M120" s="149"/>
      <c r="N120" s="144"/>
      <c r="O120" s="146"/>
      <c r="P120" s="146"/>
      <c r="Q120" s="147"/>
      <c r="R120" s="148"/>
      <c r="S120" s="148"/>
    </row>
    <row r="121" spans="1:19" s="264" customFormat="1" ht="25.5">
      <c r="A121" s="150" t="s">
        <v>198</v>
      </c>
      <c r="B121" s="135" t="s">
        <v>199</v>
      </c>
      <c r="C121" s="250"/>
      <c r="D121" s="138"/>
      <c r="E121" s="138"/>
      <c r="F121" s="138">
        <f>F122+F123</f>
        <v>1923.0900000000001</v>
      </c>
      <c r="G121" s="138"/>
      <c r="H121" s="138">
        <f t="shared" ref="H121:N121" si="30">H122+H123</f>
        <v>1923.0900000000001</v>
      </c>
      <c r="I121" s="138">
        <f t="shared" si="30"/>
        <v>0</v>
      </c>
      <c r="J121" s="138">
        <f t="shared" si="30"/>
        <v>0</v>
      </c>
      <c r="K121" s="138">
        <f t="shared" si="30"/>
        <v>0</v>
      </c>
      <c r="L121" s="138">
        <f t="shared" si="30"/>
        <v>0</v>
      </c>
      <c r="M121" s="138">
        <f t="shared" si="30"/>
        <v>0</v>
      </c>
      <c r="N121" s="138">
        <f t="shared" si="30"/>
        <v>0</v>
      </c>
      <c r="O121" s="251"/>
      <c r="P121" s="251"/>
      <c r="Q121" s="252"/>
      <c r="R121" s="253"/>
      <c r="S121" s="253"/>
    </row>
    <row r="122" spans="1:19" s="262" customFormat="1">
      <c r="A122" s="151" t="s">
        <v>200</v>
      </c>
      <c r="B122" s="142" t="s">
        <v>201</v>
      </c>
      <c r="C122" s="51" t="s">
        <v>32</v>
      </c>
      <c r="D122" s="30">
        <v>9.07</v>
      </c>
      <c r="E122" s="40">
        <v>87</v>
      </c>
      <c r="F122" s="30">
        <f>D122*E122</f>
        <v>789.09</v>
      </c>
      <c r="G122" s="145">
        <f>E122</f>
        <v>87</v>
      </c>
      <c r="H122" s="144">
        <f>F122</f>
        <v>789.09</v>
      </c>
      <c r="I122" s="149"/>
      <c r="J122" s="144"/>
      <c r="K122" s="144"/>
      <c r="L122" s="144"/>
      <c r="M122" s="149"/>
      <c r="N122" s="144"/>
      <c r="O122" s="146"/>
      <c r="P122" s="146"/>
      <c r="Q122" s="147"/>
      <c r="R122" s="148"/>
      <c r="S122" s="148"/>
    </row>
    <row r="123" spans="1:19" s="262" customFormat="1" ht="62.25" customHeight="1">
      <c r="A123" s="151" t="s">
        <v>202</v>
      </c>
      <c r="B123" s="142" t="s">
        <v>203</v>
      </c>
      <c r="C123" s="51" t="s">
        <v>32</v>
      </c>
      <c r="D123" s="30">
        <v>25.2</v>
      </c>
      <c r="E123" s="40">
        <v>45</v>
      </c>
      <c r="F123" s="30">
        <f>D123*E123</f>
        <v>1134</v>
      </c>
      <c r="G123" s="145">
        <f>E123</f>
        <v>45</v>
      </c>
      <c r="H123" s="144">
        <f>F123</f>
        <v>1134</v>
      </c>
      <c r="I123" s="149"/>
      <c r="J123" s="144"/>
      <c r="K123" s="144"/>
      <c r="L123" s="144"/>
      <c r="M123" s="149"/>
      <c r="N123" s="144"/>
      <c r="O123" s="146"/>
      <c r="P123" s="146"/>
      <c r="Q123" s="147"/>
      <c r="R123" s="148"/>
      <c r="S123" s="148"/>
    </row>
    <row r="124" spans="1:19" s="264" customFormat="1" ht="25.5">
      <c r="A124" s="150" t="s">
        <v>204</v>
      </c>
      <c r="B124" s="135" t="s">
        <v>205</v>
      </c>
      <c r="C124" s="250"/>
      <c r="D124" s="138"/>
      <c r="E124" s="152"/>
      <c r="F124" s="138">
        <f>F125</f>
        <v>920</v>
      </c>
      <c r="G124" s="138">
        <f t="shared" ref="G124:N124" si="31">G125</f>
        <v>2</v>
      </c>
      <c r="H124" s="138">
        <f t="shared" si="31"/>
        <v>920</v>
      </c>
      <c r="I124" s="138">
        <f t="shared" si="31"/>
        <v>0</v>
      </c>
      <c r="J124" s="138">
        <f t="shared" si="31"/>
        <v>0</v>
      </c>
      <c r="K124" s="138">
        <f t="shared" si="31"/>
        <v>0</v>
      </c>
      <c r="L124" s="138">
        <f t="shared" si="31"/>
        <v>0</v>
      </c>
      <c r="M124" s="138">
        <f t="shared" si="31"/>
        <v>0</v>
      </c>
      <c r="N124" s="138">
        <f t="shared" si="31"/>
        <v>0</v>
      </c>
      <c r="O124" s="251"/>
      <c r="P124" s="251"/>
      <c r="Q124" s="252"/>
      <c r="R124" s="253"/>
      <c r="S124" s="253"/>
    </row>
    <row r="125" spans="1:19" s="262" customFormat="1">
      <c r="A125" s="151" t="s">
        <v>206</v>
      </c>
      <c r="B125" s="142" t="s">
        <v>207</v>
      </c>
      <c r="C125" s="51" t="s">
        <v>32</v>
      </c>
      <c r="D125" s="30">
        <v>460</v>
      </c>
      <c r="E125" s="40">
        <v>2</v>
      </c>
      <c r="F125" s="30">
        <f>D125*E125</f>
        <v>920</v>
      </c>
      <c r="G125" s="145">
        <f>E125</f>
        <v>2</v>
      </c>
      <c r="H125" s="144">
        <f>F125</f>
        <v>920</v>
      </c>
      <c r="I125" s="149"/>
      <c r="J125" s="144"/>
      <c r="K125" s="144"/>
      <c r="L125" s="144"/>
      <c r="M125" s="149"/>
      <c r="N125" s="144"/>
      <c r="O125" s="146"/>
      <c r="P125" s="146"/>
      <c r="Q125" s="147"/>
      <c r="R125" s="148"/>
      <c r="S125" s="148"/>
    </row>
    <row r="126" spans="1:19" s="262" customFormat="1" ht="71.25" customHeight="1">
      <c r="A126" s="254" t="s">
        <v>208</v>
      </c>
      <c r="B126" s="255"/>
      <c r="C126" s="255"/>
      <c r="D126" s="256"/>
      <c r="E126" s="257"/>
      <c r="F126" s="165">
        <f>F124+F121+F117+F114</f>
        <v>10948.960000000001</v>
      </c>
      <c r="G126" s="165"/>
      <c r="H126" s="165">
        <f>H124+H121+H117+H114</f>
        <v>4966.4960000000001</v>
      </c>
      <c r="I126" s="165"/>
      <c r="J126" s="165">
        <f>J124+J121+J117+J114</f>
        <v>0</v>
      </c>
      <c r="K126" s="165"/>
      <c r="L126" s="165">
        <f>L124+L121+L117+L114</f>
        <v>5982.4639999999999</v>
      </c>
      <c r="M126" s="165"/>
      <c r="N126" s="165">
        <f>N124+N121+N117+N114</f>
        <v>0</v>
      </c>
      <c r="O126" s="258" t="s">
        <v>209</v>
      </c>
      <c r="P126" s="259"/>
      <c r="Q126" s="258"/>
      <c r="R126" s="259"/>
      <c r="S126" s="259"/>
    </row>
    <row r="127" spans="1:19" s="262" customFormat="1">
      <c r="A127" s="236" t="s">
        <v>210</v>
      </c>
      <c r="B127" s="245"/>
      <c r="C127" s="245"/>
      <c r="D127" s="212"/>
      <c r="E127" s="213"/>
      <c r="F127" s="212"/>
      <c r="G127" s="211"/>
      <c r="H127" s="212"/>
      <c r="I127" s="212"/>
      <c r="J127" s="212"/>
      <c r="K127" s="212"/>
      <c r="L127" s="212"/>
      <c r="M127" s="212"/>
      <c r="N127" s="212"/>
      <c r="O127" s="247"/>
      <c r="P127" s="248"/>
      <c r="Q127" s="248"/>
      <c r="R127" s="249"/>
      <c r="S127" s="248"/>
    </row>
    <row r="128" spans="1:19" s="262" customFormat="1">
      <c r="A128" s="153" t="s">
        <v>211</v>
      </c>
      <c r="B128" s="154" t="s">
        <v>212</v>
      </c>
      <c r="C128" s="155" t="s">
        <v>82</v>
      </c>
      <c r="D128" s="156">
        <v>1295.346</v>
      </c>
      <c r="E128" s="40">
        <v>1</v>
      </c>
      <c r="F128" s="30">
        <f>D128*E128</f>
        <v>1295.346</v>
      </c>
      <c r="G128" s="157"/>
      <c r="H128" s="158"/>
      <c r="I128" s="158"/>
      <c r="J128" s="158"/>
      <c r="K128" s="158"/>
      <c r="L128" s="158">
        <f>F128*0.6+44.364-29.8428+0.0054</f>
        <v>791.73419999999999</v>
      </c>
      <c r="M128" s="159">
        <v>1</v>
      </c>
      <c r="N128" s="160">
        <f>F128-L128</f>
        <v>503.61180000000002</v>
      </c>
      <c r="O128" s="161"/>
      <c r="P128" s="162"/>
      <c r="Q128" s="260"/>
      <c r="R128" s="33"/>
      <c r="S128" s="163"/>
    </row>
    <row r="129" spans="1:19" s="262" customFormat="1">
      <c r="A129" s="153" t="s">
        <v>213</v>
      </c>
      <c r="B129" s="154" t="s">
        <v>214</v>
      </c>
      <c r="C129" s="155" t="s">
        <v>82</v>
      </c>
      <c r="D129" s="156">
        <v>1999.1410000000001</v>
      </c>
      <c r="E129" s="40">
        <v>2</v>
      </c>
      <c r="F129" s="30">
        <f>D129*E129</f>
        <v>3998.2820000000002</v>
      </c>
      <c r="G129" s="159"/>
      <c r="H129" s="158"/>
      <c r="I129" s="158"/>
      <c r="J129" s="158">
        <f>F129*0.45</f>
        <v>1799.2269000000001</v>
      </c>
      <c r="K129" s="159">
        <f>E129</f>
        <v>2</v>
      </c>
      <c r="L129" s="158">
        <f>F129-J129</f>
        <v>2199.0551</v>
      </c>
      <c r="M129" s="158"/>
      <c r="N129" s="160"/>
      <c r="O129" s="161"/>
      <c r="P129" s="162"/>
      <c r="Q129" s="260"/>
      <c r="R129" s="33"/>
      <c r="S129" s="163"/>
    </row>
    <row r="130" spans="1:19" s="262" customFormat="1" ht="52.5">
      <c r="A130" s="153" t="s">
        <v>215</v>
      </c>
      <c r="B130" s="154" t="s">
        <v>216</v>
      </c>
      <c r="C130" s="155" t="s">
        <v>82</v>
      </c>
      <c r="D130" s="156">
        <v>1996</v>
      </c>
      <c r="E130" s="30">
        <v>0.5</v>
      </c>
      <c r="F130" s="30">
        <f>D130*E130</f>
        <v>998</v>
      </c>
      <c r="G130" s="164"/>
      <c r="H130" s="158"/>
      <c r="I130" s="158"/>
      <c r="J130" s="158"/>
      <c r="K130" s="158">
        <v>0.5</v>
      </c>
      <c r="L130" s="158">
        <f>F130</f>
        <v>998</v>
      </c>
      <c r="M130" s="158"/>
      <c r="N130" s="160"/>
      <c r="O130" s="161"/>
      <c r="P130" s="162"/>
      <c r="Q130" s="260"/>
      <c r="R130" s="33"/>
      <c r="S130" s="163"/>
    </row>
    <row r="131" spans="1:19" s="262" customFormat="1" ht="52.5">
      <c r="A131" s="153" t="s">
        <v>217</v>
      </c>
      <c r="B131" s="52" t="s">
        <v>218</v>
      </c>
      <c r="C131" s="53" t="s">
        <v>82</v>
      </c>
      <c r="D131" s="27">
        <f>1026.87+0.11</f>
        <v>1026.9799999999998</v>
      </c>
      <c r="E131" s="104">
        <v>1</v>
      </c>
      <c r="F131" s="27">
        <f>D131*E131</f>
        <v>1026.9799999999998</v>
      </c>
      <c r="G131" s="73"/>
      <c r="H131" s="30"/>
      <c r="I131" s="30"/>
      <c r="J131" s="30">
        <f>F131*0.5</f>
        <v>513.4899999999999</v>
      </c>
      <c r="K131" s="68">
        <v>1</v>
      </c>
      <c r="L131" s="66">
        <f>F131-H131-J131</f>
        <v>513.4899999999999</v>
      </c>
      <c r="M131" s="30"/>
      <c r="N131" s="30"/>
      <c r="O131" s="35" t="s">
        <v>27</v>
      </c>
      <c r="P131" s="35"/>
      <c r="Q131" s="70"/>
      <c r="R131" s="69"/>
      <c r="S131" s="69"/>
    </row>
    <row r="132" spans="1:19" s="262" customFormat="1" ht="32.25" customHeight="1">
      <c r="A132" s="254" t="s">
        <v>219</v>
      </c>
      <c r="B132" s="255"/>
      <c r="C132" s="255"/>
      <c r="D132" s="256"/>
      <c r="E132" s="257"/>
      <c r="F132" s="165">
        <f>F129+F128+F130+F131</f>
        <v>7318.6080000000002</v>
      </c>
      <c r="G132" s="165"/>
      <c r="H132" s="165">
        <f t="shared" ref="H132:N132" si="32">H129+H128+H130+H131</f>
        <v>0</v>
      </c>
      <c r="I132" s="165"/>
      <c r="J132" s="165">
        <f>J129+J128+J130+J131</f>
        <v>2312.7168999999999</v>
      </c>
      <c r="K132" s="165"/>
      <c r="L132" s="165">
        <f t="shared" si="32"/>
        <v>4502.2793000000001</v>
      </c>
      <c r="M132" s="165"/>
      <c r="N132" s="165">
        <f t="shared" si="32"/>
        <v>503.61180000000002</v>
      </c>
      <c r="O132" s="219"/>
      <c r="P132" s="219"/>
      <c r="Q132" s="166"/>
      <c r="R132" s="121"/>
      <c r="S132" s="121"/>
    </row>
    <row r="133" spans="1:19" s="262" customFormat="1">
      <c r="A133" s="236" t="s">
        <v>221</v>
      </c>
      <c r="B133" s="245"/>
      <c r="C133" s="245"/>
      <c r="D133" s="246"/>
      <c r="E133" s="213"/>
      <c r="F133" s="246"/>
      <c r="G133" s="211"/>
      <c r="H133" s="212"/>
      <c r="I133" s="212"/>
      <c r="J133" s="212"/>
      <c r="K133" s="212"/>
      <c r="L133" s="212"/>
      <c r="M133" s="212"/>
      <c r="N133" s="212"/>
      <c r="O133" s="239"/>
      <c r="P133" s="240"/>
      <c r="Q133" s="167"/>
      <c r="R133" s="184"/>
      <c r="S133" s="240"/>
    </row>
    <row r="134" spans="1:19" s="264" customFormat="1" ht="51">
      <c r="A134" s="168" t="s">
        <v>222</v>
      </c>
      <c r="B134" s="169" t="s">
        <v>223</v>
      </c>
      <c r="C134" s="170"/>
      <c r="D134" s="171"/>
      <c r="E134" s="172"/>
      <c r="F134" s="171">
        <f>F135+F142</f>
        <v>1064.29</v>
      </c>
      <c r="G134" s="171"/>
      <c r="H134" s="171">
        <f>H135+H142</f>
        <v>393.75</v>
      </c>
      <c r="I134" s="171"/>
      <c r="J134" s="171">
        <f>J135+J142</f>
        <v>0</v>
      </c>
      <c r="K134" s="171"/>
      <c r="L134" s="171">
        <f>L135+L142</f>
        <v>0</v>
      </c>
      <c r="M134" s="171"/>
      <c r="N134" s="171">
        <f>N135+N142</f>
        <v>670.54</v>
      </c>
      <c r="O134" s="11"/>
      <c r="P134" s="11"/>
      <c r="Q134" s="173"/>
      <c r="R134" s="174"/>
      <c r="S134" s="174"/>
    </row>
    <row r="135" spans="1:19" s="262" customFormat="1">
      <c r="A135" s="175" t="s">
        <v>224</v>
      </c>
      <c r="B135" s="176" t="s">
        <v>225</v>
      </c>
      <c r="C135" s="136"/>
      <c r="D135" s="137"/>
      <c r="E135" s="137"/>
      <c r="F135" s="137">
        <f>SUM(F136:F141)</f>
        <v>950.74</v>
      </c>
      <c r="G135" s="137"/>
      <c r="H135" s="137">
        <f>SUM(H136:H140)</f>
        <v>280.2</v>
      </c>
      <c r="I135" s="137"/>
      <c r="J135" s="137">
        <f>SUM(J136:J140)</f>
        <v>0</v>
      </c>
      <c r="K135" s="137"/>
      <c r="L135" s="137">
        <f>SUM(L136:L140)</f>
        <v>0</v>
      </c>
      <c r="M135" s="137"/>
      <c r="N135" s="137">
        <f>SUM(N136:N141)</f>
        <v>670.54</v>
      </c>
      <c r="O135" s="177"/>
      <c r="P135" s="177"/>
      <c r="Q135" s="178"/>
      <c r="R135" s="179"/>
      <c r="S135" s="179"/>
    </row>
    <row r="136" spans="1:19" s="262" customFormat="1">
      <c r="A136" s="151" t="s">
        <v>226</v>
      </c>
      <c r="B136" s="180" t="s">
        <v>227</v>
      </c>
      <c r="C136" s="181" t="s">
        <v>82</v>
      </c>
      <c r="D136" s="30">
        <v>21</v>
      </c>
      <c r="E136" s="40">
        <v>9</v>
      </c>
      <c r="F136" s="144">
        <f>E136*D136</f>
        <v>189</v>
      </c>
      <c r="G136" s="182">
        <f>E136</f>
        <v>9</v>
      </c>
      <c r="H136" s="144">
        <f>F136</f>
        <v>189</v>
      </c>
      <c r="I136" s="144"/>
      <c r="J136" s="144"/>
      <c r="K136" s="144"/>
      <c r="L136" s="144"/>
      <c r="M136" s="144"/>
      <c r="N136" s="144"/>
      <c r="O136" s="183"/>
      <c r="P136" s="183"/>
      <c r="Q136" s="167"/>
      <c r="R136" s="184"/>
      <c r="S136" s="240"/>
    </row>
    <row r="137" spans="1:19" s="262" customFormat="1">
      <c r="A137" s="151" t="s">
        <v>228</v>
      </c>
      <c r="B137" s="228" t="s">
        <v>229</v>
      </c>
      <c r="C137" s="181" t="s">
        <v>82</v>
      </c>
      <c r="D137" s="30">
        <v>5.7</v>
      </c>
      <c r="E137" s="40">
        <v>16</v>
      </c>
      <c r="F137" s="144">
        <f>E137*D137</f>
        <v>91.2</v>
      </c>
      <c r="G137" s="182">
        <f>E137</f>
        <v>16</v>
      </c>
      <c r="H137" s="144">
        <f>F137</f>
        <v>91.2</v>
      </c>
      <c r="I137" s="144"/>
      <c r="J137" s="144"/>
      <c r="K137" s="144"/>
      <c r="L137" s="144"/>
      <c r="M137" s="144"/>
      <c r="N137" s="144"/>
      <c r="O137" s="183"/>
      <c r="P137" s="183"/>
      <c r="Q137" s="167"/>
      <c r="R137" s="184"/>
      <c r="S137" s="240"/>
    </row>
    <row r="138" spans="1:19" s="262" customFormat="1">
      <c r="A138" s="151" t="s">
        <v>230</v>
      </c>
      <c r="B138" s="228" t="s">
        <v>227</v>
      </c>
      <c r="C138" s="181" t="s">
        <v>82</v>
      </c>
      <c r="D138" s="30">
        <v>17.84</v>
      </c>
      <c r="E138" s="40">
        <v>21</v>
      </c>
      <c r="F138" s="144">
        <f>E138*D138</f>
        <v>374.64</v>
      </c>
      <c r="G138" s="182"/>
      <c r="H138" s="144"/>
      <c r="I138" s="144"/>
      <c r="J138" s="144"/>
      <c r="K138" s="144"/>
      <c r="L138" s="144"/>
      <c r="M138" s="144">
        <f>E138</f>
        <v>21</v>
      </c>
      <c r="N138" s="144">
        <f>F138</f>
        <v>374.64</v>
      </c>
      <c r="O138" s="183"/>
      <c r="P138" s="183"/>
      <c r="Q138" s="167"/>
      <c r="R138" s="184"/>
      <c r="S138" s="240"/>
    </row>
    <row r="139" spans="1:19" s="262" customFormat="1">
      <c r="A139" s="151" t="s">
        <v>231</v>
      </c>
      <c r="B139" s="228" t="s">
        <v>232</v>
      </c>
      <c r="C139" s="181" t="s">
        <v>82</v>
      </c>
      <c r="D139" s="30">
        <v>10</v>
      </c>
      <c r="E139" s="40">
        <v>20</v>
      </c>
      <c r="F139" s="144">
        <f t="shared" ref="F139:F141" si="33">E139*D139</f>
        <v>200</v>
      </c>
      <c r="G139" s="182"/>
      <c r="H139" s="144"/>
      <c r="I139" s="144"/>
      <c r="J139" s="144"/>
      <c r="K139" s="144"/>
      <c r="L139" s="144"/>
      <c r="M139" s="144">
        <f t="shared" ref="M139:N141" si="34">E139</f>
        <v>20</v>
      </c>
      <c r="N139" s="144">
        <f t="shared" si="34"/>
        <v>200</v>
      </c>
      <c r="O139" s="183"/>
      <c r="P139" s="183"/>
      <c r="Q139" s="167"/>
      <c r="R139" s="184"/>
      <c r="S139" s="240"/>
    </row>
    <row r="140" spans="1:19" s="262" customFormat="1">
      <c r="A140" s="151" t="s">
        <v>233</v>
      </c>
      <c r="B140" s="228" t="s">
        <v>234</v>
      </c>
      <c r="C140" s="181" t="s">
        <v>82</v>
      </c>
      <c r="D140" s="30">
        <v>20.83</v>
      </c>
      <c r="E140" s="40">
        <v>1</v>
      </c>
      <c r="F140" s="144">
        <f t="shared" si="33"/>
        <v>20.83</v>
      </c>
      <c r="G140" s="182"/>
      <c r="H140" s="144"/>
      <c r="I140" s="144"/>
      <c r="J140" s="144"/>
      <c r="K140" s="144"/>
      <c r="L140" s="144"/>
      <c r="M140" s="144">
        <f t="shared" si="34"/>
        <v>1</v>
      </c>
      <c r="N140" s="144">
        <f t="shared" si="34"/>
        <v>20.83</v>
      </c>
      <c r="O140" s="183"/>
      <c r="P140" s="183"/>
      <c r="Q140" s="167"/>
      <c r="R140" s="184"/>
      <c r="S140" s="240"/>
    </row>
    <row r="141" spans="1:19">
      <c r="A141" s="151" t="s">
        <v>235</v>
      </c>
      <c r="B141" s="228" t="s">
        <v>236</v>
      </c>
      <c r="C141" s="181" t="s">
        <v>82</v>
      </c>
      <c r="D141" s="30">
        <v>75.069999999999993</v>
      </c>
      <c r="E141" s="40">
        <v>1</v>
      </c>
      <c r="F141" s="144">
        <f t="shared" si="33"/>
        <v>75.069999999999993</v>
      </c>
      <c r="G141" s="3"/>
      <c r="H141" s="4"/>
      <c r="I141" s="4"/>
      <c r="J141" s="4"/>
      <c r="K141" s="4"/>
      <c r="L141" s="4"/>
      <c r="M141" s="144">
        <f t="shared" si="34"/>
        <v>1</v>
      </c>
      <c r="N141" s="144">
        <f t="shared" si="34"/>
        <v>75.069999999999993</v>
      </c>
      <c r="O141" s="185"/>
      <c r="P141" s="185"/>
      <c r="Q141" s="185"/>
      <c r="R141" s="186"/>
      <c r="S141" s="186"/>
    </row>
    <row r="142" spans="1:19" s="262" customFormat="1">
      <c r="A142" s="175" t="s">
        <v>237</v>
      </c>
      <c r="B142" s="176" t="s">
        <v>238</v>
      </c>
      <c r="C142" s="136"/>
      <c r="D142" s="137"/>
      <c r="E142" s="187"/>
      <c r="F142" s="138">
        <f>F143+F144+F145</f>
        <v>113.55</v>
      </c>
      <c r="G142" s="188"/>
      <c r="H142" s="138">
        <f t="shared" ref="H142:N142" si="35">H143+H144+H145</f>
        <v>113.55</v>
      </c>
      <c r="I142" s="138"/>
      <c r="J142" s="138">
        <f t="shared" si="35"/>
        <v>0</v>
      </c>
      <c r="K142" s="138"/>
      <c r="L142" s="138">
        <f t="shared" si="35"/>
        <v>0</v>
      </c>
      <c r="M142" s="138"/>
      <c r="N142" s="138">
        <f t="shared" si="35"/>
        <v>0</v>
      </c>
      <c r="O142" s="310"/>
      <c r="P142" s="310"/>
      <c r="Q142" s="178"/>
      <c r="R142" s="179"/>
      <c r="S142" s="179"/>
    </row>
    <row r="143" spans="1:19" s="262" customFormat="1">
      <c r="A143" s="151" t="s">
        <v>239</v>
      </c>
      <c r="B143" s="180" t="s">
        <v>240</v>
      </c>
      <c r="C143" s="181" t="s">
        <v>32</v>
      </c>
      <c r="D143" s="30">
        <v>9.5</v>
      </c>
      <c r="E143" s="40">
        <v>4</v>
      </c>
      <c r="F143" s="144">
        <f>D143*E143</f>
        <v>38</v>
      </c>
      <c r="G143" s="189">
        <f>E143</f>
        <v>4</v>
      </c>
      <c r="H143" s="190">
        <f>F143</f>
        <v>38</v>
      </c>
      <c r="I143" s="144"/>
      <c r="J143" s="144"/>
      <c r="K143" s="144"/>
      <c r="L143" s="144"/>
      <c r="M143" s="144"/>
      <c r="N143" s="144"/>
      <c r="O143" s="183"/>
      <c r="P143" s="183"/>
      <c r="Q143" s="167"/>
      <c r="R143" s="184"/>
      <c r="S143" s="240"/>
    </row>
    <row r="144" spans="1:19" s="262" customFormat="1">
      <c r="A144" s="151" t="s">
        <v>241</v>
      </c>
      <c r="B144" s="180" t="s">
        <v>242</v>
      </c>
      <c r="C144" s="181" t="s">
        <v>32</v>
      </c>
      <c r="D144" s="30">
        <v>19.55</v>
      </c>
      <c r="E144" s="40">
        <v>1</v>
      </c>
      <c r="F144" s="144">
        <f>D144*E144</f>
        <v>19.55</v>
      </c>
      <c r="G144" s="189">
        <f t="shared" ref="G144:H145" si="36">E144</f>
        <v>1</v>
      </c>
      <c r="H144" s="190">
        <f t="shared" si="36"/>
        <v>19.55</v>
      </c>
      <c r="I144" s="144"/>
      <c r="J144" s="144"/>
      <c r="K144" s="144"/>
      <c r="L144" s="144"/>
      <c r="M144" s="144"/>
      <c r="N144" s="144"/>
      <c r="O144" s="183"/>
      <c r="P144" s="183"/>
      <c r="Q144" s="167"/>
      <c r="R144" s="184"/>
      <c r="S144" s="240"/>
    </row>
    <row r="145" spans="1:19" s="262" customFormat="1">
      <c r="A145" s="151" t="s">
        <v>243</v>
      </c>
      <c r="B145" s="180" t="s">
        <v>244</v>
      </c>
      <c r="C145" s="181" t="s">
        <v>32</v>
      </c>
      <c r="D145" s="30">
        <v>14</v>
      </c>
      <c r="E145" s="40">
        <v>4</v>
      </c>
      <c r="F145" s="144">
        <f>D145*E145</f>
        <v>56</v>
      </c>
      <c r="G145" s="189">
        <f t="shared" si="36"/>
        <v>4</v>
      </c>
      <c r="H145" s="190">
        <f t="shared" si="36"/>
        <v>56</v>
      </c>
      <c r="I145" s="144"/>
      <c r="J145" s="144"/>
      <c r="K145" s="144"/>
      <c r="L145" s="144"/>
      <c r="M145" s="144"/>
      <c r="N145" s="144"/>
      <c r="O145" s="183"/>
      <c r="P145" s="183"/>
      <c r="Q145" s="167"/>
      <c r="R145" s="184"/>
      <c r="S145" s="240"/>
    </row>
    <row r="146" spans="1:19" s="264" customFormat="1">
      <c r="A146" s="191" t="s">
        <v>245</v>
      </c>
      <c r="B146" s="192" t="s">
        <v>246</v>
      </c>
      <c r="C146" s="193"/>
      <c r="D146" s="194"/>
      <c r="E146" s="195"/>
      <c r="F146" s="196">
        <f>F147</f>
        <v>150</v>
      </c>
      <c r="G146" s="196">
        <f t="shared" ref="G146:N146" si="37">G147</f>
        <v>0</v>
      </c>
      <c r="H146" s="196">
        <f t="shared" si="37"/>
        <v>0</v>
      </c>
      <c r="I146" s="196"/>
      <c r="J146" s="196">
        <f t="shared" si="37"/>
        <v>0</v>
      </c>
      <c r="K146" s="196"/>
      <c r="L146" s="196">
        <f t="shared" si="37"/>
        <v>150</v>
      </c>
      <c r="M146" s="196"/>
      <c r="N146" s="196">
        <f t="shared" si="37"/>
        <v>0</v>
      </c>
      <c r="O146" s="11"/>
      <c r="P146" s="11"/>
      <c r="Q146" s="197"/>
      <c r="R146" s="197"/>
      <c r="S146" s="20"/>
    </row>
    <row r="147" spans="1:19" s="262" customFormat="1" ht="51.75" customHeight="1">
      <c r="A147" s="198" t="s">
        <v>247</v>
      </c>
      <c r="B147" s="52" t="s">
        <v>248</v>
      </c>
      <c r="C147" s="199" t="s">
        <v>32</v>
      </c>
      <c r="D147" s="200">
        <v>150</v>
      </c>
      <c r="E147" s="201">
        <v>1</v>
      </c>
      <c r="F147" s="200">
        <f>D147*E147</f>
        <v>150</v>
      </c>
      <c r="G147" s="31"/>
      <c r="H147" s="200"/>
      <c r="I147" s="40"/>
      <c r="J147" s="200"/>
      <c r="K147" s="40">
        <f>E147</f>
        <v>1</v>
      </c>
      <c r="L147" s="200">
        <f>F147</f>
        <v>150</v>
      </c>
      <c r="M147" s="29"/>
      <c r="N147" s="202"/>
      <c r="O147" s="183"/>
      <c r="P147" s="183"/>
      <c r="Q147" s="34"/>
      <c r="R147" s="163"/>
      <c r="S147" s="100"/>
    </row>
    <row r="148" spans="1:19" s="262" customFormat="1" ht="59.25" customHeight="1">
      <c r="A148" s="254" t="s">
        <v>249</v>
      </c>
      <c r="B148" s="255"/>
      <c r="C148" s="255"/>
      <c r="D148" s="256"/>
      <c r="E148" s="257"/>
      <c r="F148" s="165">
        <f>F146+F134</f>
        <v>1214.29</v>
      </c>
      <c r="G148" s="165"/>
      <c r="H148" s="165">
        <f>H146+H134</f>
        <v>393.75</v>
      </c>
      <c r="I148" s="165"/>
      <c r="J148" s="165">
        <f>J146+J134</f>
        <v>0</v>
      </c>
      <c r="K148" s="165"/>
      <c r="L148" s="165">
        <f>L146+L134</f>
        <v>150</v>
      </c>
      <c r="M148" s="165"/>
      <c r="N148" s="165">
        <f>N146+N134</f>
        <v>670.54</v>
      </c>
      <c r="O148" s="203" t="s">
        <v>220</v>
      </c>
      <c r="P148" s="203"/>
      <c r="Q148" s="166"/>
      <c r="R148" s="121"/>
      <c r="S148" s="121"/>
    </row>
    <row r="149" spans="1:19" s="262" customFormat="1">
      <c r="A149" s="236" t="s">
        <v>250</v>
      </c>
      <c r="B149" s="245"/>
      <c r="C149" s="245"/>
      <c r="D149" s="212"/>
      <c r="E149" s="213"/>
      <c r="F149" s="212"/>
      <c r="G149" s="211"/>
      <c r="H149" s="212"/>
      <c r="I149" s="212"/>
      <c r="J149" s="212"/>
      <c r="K149" s="212"/>
      <c r="L149" s="212"/>
      <c r="M149" s="212"/>
      <c r="N149" s="212"/>
      <c r="O149" s="183"/>
      <c r="P149" s="204"/>
      <c r="Q149" s="240"/>
      <c r="R149" s="184"/>
      <c r="S149" s="240"/>
    </row>
    <row r="150" spans="1:19" s="262" customFormat="1">
      <c r="A150" s="168" t="s">
        <v>251</v>
      </c>
      <c r="B150" s="205" t="s">
        <v>252</v>
      </c>
      <c r="C150" s="205"/>
      <c r="D150" s="206"/>
      <c r="E150" s="207"/>
      <c r="F150" s="171"/>
      <c r="G150" s="171"/>
      <c r="H150" s="171"/>
      <c r="I150" s="171"/>
      <c r="J150" s="171"/>
      <c r="K150" s="171"/>
      <c r="L150" s="171"/>
      <c r="M150" s="171"/>
      <c r="N150" s="171"/>
      <c r="O150" s="112"/>
      <c r="P150" s="112"/>
      <c r="Q150" s="13"/>
      <c r="R150" s="208"/>
      <c r="S150" s="208"/>
    </row>
    <row r="151" spans="1:19" s="262" customFormat="1">
      <c r="A151" s="113" t="s">
        <v>253</v>
      </c>
      <c r="B151" s="226" t="s">
        <v>254</v>
      </c>
      <c r="C151" s="229" t="s">
        <v>32</v>
      </c>
      <c r="D151" s="230">
        <v>3.4</v>
      </c>
      <c r="E151" s="230">
        <f>29-1+14</f>
        <v>42</v>
      </c>
      <c r="F151" s="230">
        <f>E151*D151</f>
        <v>142.79999999999998</v>
      </c>
      <c r="G151" s="231"/>
      <c r="H151" s="230"/>
      <c r="I151" s="232"/>
      <c r="J151" s="233"/>
      <c r="K151" s="231">
        <v>28</v>
      </c>
      <c r="L151" s="230">
        <f>D151*28</f>
        <v>95.2</v>
      </c>
      <c r="M151" s="234">
        <v>14</v>
      </c>
      <c r="N151" s="230">
        <f>F151-L151</f>
        <v>47.59999999999998</v>
      </c>
      <c r="O151" s="35" t="s">
        <v>255</v>
      </c>
      <c r="P151" s="35"/>
      <c r="Q151" s="209"/>
      <c r="R151" s="33"/>
      <c r="S151" s="163"/>
    </row>
    <row r="152" spans="1:19" s="262" customFormat="1">
      <c r="A152" s="254" t="s">
        <v>256</v>
      </c>
      <c r="B152" s="255"/>
      <c r="C152" s="255"/>
      <c r="D152" s="256"/>
      <c r="E152" s="257"/>
      <c r="F152" s="165">
        <f>F151</f>
        <v>142.79999999999998</v>
      </c>
      <c r="G152" s="165"/>
      <c r="H152" s="165">
        <f>H151</f>
        <v>0</v>
      </c>
      <c r="I152" s="165"/>
      <c r="J152" s="165">
        <f>J151</f>
        <v>0</v>
      </c>
      <c r="K152" s="165"/>
      <c r="L152" s="165">
        <f>L151</f>
        <v>95.2</v>
      </c>
      <c r="M152" s="165"/>
      <c r="N152" s="165">
        <f>N151</f>
        <v>47.59999999999998</v>
      </c>
      <c r="O152" s="311"/>
      <c r="P152" s="311"/>
      <c r="Q152" s="166"/>
      <c r="R152" s="121"/>
      <c r="S152" s="121"/>
    </row>
    <row r="153" spans="1:19" s="262" customFormat="1">
      <c r="A153" s="236" t="s">
        <v>257</v>
      </c>
      <c r="B153" s="245"/>
      <c r="C153" s="245"/>
      <c r="D153" s="212"/>
      <c r="E153" s="213"/>
      <c r="F153" s="212"/>
      <c r="G153" s="211"/>
      <c r="H153" s="212"/>
      <c r="I153" s="212"/>
      <c r="J153" s="212"/>
      <c r="K153" s="212"/>
      <c r="L153" s="212"/>
      <c r="M153" s="212"/>
      <c r="N153" s="212"/>
      <c r="O153" s="239"/>
      <c r="P153" s="240"/>
      <c r="Q153" s="167"/>
      <c r="R153" s="184"/>
      <c r="S153" s="240"/>
    </row>
    <row r="154" spans="1:19" s="262" customFormat="1">
      <c r="A154" s="210" t="s">
        <v>258</v>
      </c>
      <c r="B154" s="142" t="s">
        <v>259</v>
      </c>
      <c r="C154" s="181" t="s">
        <v>32</v>
      </c>
      <c r="D154" s="30">
        <v>2047.36</v>
      </c>
      <c r="E154" s="144">
        <v>3</v>
      </c>
      <c r="F154" s="144">
        <f>(D154*E154)+0.01</f>
        <v>6142.09</v>
      </c>
      <c r="G154" s="211"/>
      <c r="H154" s="190">
        <f>D154</f>
        <v>2047.36</v>
      </c>
      <c r="I154" s="144"/>
      <c r="J154" s="144"/>
      <c r="K154" s="212"/>
      <c r="L154" s="213"/>
      <c r="M154" s="145">
        <f>E154</f>
        <v>3</v>
      </c>
      <c r="N154" s="144">
        <f>F154-H154</f>
        <v>4094.7300000000005</v>
      </c>
      <c r="O154" s="183"/>
      <c r="P154" s="214"/>
      <c r="Q154" s="167"/>
      <c r="R154" s="184"/>
      <c r="S154" s="240"/>
    </row>
    <row r="155" spans="1:19" s="262" customFormat="1" ht="52.5">
      <c r="A155" s="210" t="s">
        <v>260</v>
      </c>
      <c r="B155" s="142" t="s">
        <v>261</v>
      </c>
      <c r="C155" s="181" t="s">
        <v>32</v>
      </c>
      <c r="D155" s="30">
        <v>1833</v>
      </c>
      <c r="E155" s="144">
        <v>1</v>
      </c>
      <c r="F155" s="144">
        <f>D155*E155</f>
        <v>1833</v>
      </c>
      <c r="G155" s="145">
        <f>E155</f>
        <v>1</v>
      </c>
      <c r="H155" s="144">
        <f>F155</f>
        <v>1833</v>
      </c>
      <c r="I155" s="144"/>
      <c r="J155" s="144"/>
      <c r="K155" s="212"/>
      <c r="L155" s="213"/>
      <c r="M155" s="144"/>
      <c r="N155" s="144"/>
      <c r="O155" s="183"/>
      <c r="P155" s="214"/>
      <c r="Q155" s="167"/>
      <c r="R155" s="184"/>
      <c r="S155" s="240"/>
    </row>
    <row r="156" spans="1:19" s="262" customFormat="1">
      <c r="A156" s="210" t="s">
        <v>262</v>
      </c>
      <c r="B156" s="228" t="s">
        <v>263</v>
      </c>
      <c r="C156" s="181" t="s">
        <v>32</v>
      </c>
      <c r="D156" s="30">
        <v>395.75</v>
      </c>
      <c r="E156" s="144">
        <v>6</v>
      </c>
      <c r="F156" s="144">
        <f>E156*D156</f>
        <v>2374.5</v>
      </c>
      <c r="G156" s="211"/>
      <c r="H156" s="190"/>
      <c r="I156" s="144"/>
      <c r="J156" s="144"/>
      <c r="K156" s="212"/>
      <c r="L156" s="213"/>
      <c r="M156" s="145">
        <v>6</v>
      </c>
      <c r="N156" s="144">
        <f>F156</f>
        <v>2374.5</v>
      </c>
      <c r="O156" s="183"/>
      <c r="P156" s="214"/>
      <c r="Q156" s="167"/>
      <c r="R156" s="184"/>
      <c r="S156" s="240"/>
    </row>
    <row r="157" spans="1:19">
      <c r="A157" s="210" t="s">
        <v>264</v>
      </c>
      <c r="B157" s="228" t="s">
        <v>265</v>
      </c>
      <c r="C157" s="181" t="s">
        <v>32</v>
      </c>
      <c r="D157" s="30">
        <v>718</v>
      </c>
      <c r="E157" s="144">
        <v>3</v>
      </c>
      <c r="F157" s="144">
        <f>E157*D157</f>
        <v>2154</v>
      </c>
      <c r="G157" s="3"/>
      <c r="H157" s="4"/>
      <c r="I157" s="4"/>
      <c r="J157" s="4"/>
      <c r="K157" s="4"/>
      <c r="L157" s="4"/>
      <c r="M157" s="215">
        <v>3</v>
      </c>
      <c r="N157" s="4">
        <f>F157</f>
        <v>2154</v>
      </c>
      <c r="O157" s="185"/>
      <c r="P157" s="185"/>
      <c r="Q157" s="185"/>
      <c r="R157" s="186"/>
      <c r="S157" s="186"/>
    </row>
    <row r="158" spans="1:19" s="262" customFormat="1" ht="57.75" customHeight="1">
      <c r="A158" s="254" t="s">
        <v>266</v>
      </c>
      <c r="B158" s="255"/>
      <c r="C158" s="255"/>
      <c r="D158" s="256"/>
      <c r="E158" s="257"/>
      <c r="F158" s="165">
        <f>F155+F154+F156+F157</f>
        <v>12503.59</v>
      </c>
      <c r="G158" s="165"/>
      <c r="H158" s="165">
        <f>H155+H154</f>
        <v>3880.3599999999997</v>
      </c>
      <c r="I158" s="165"/>
      <c r="J158" s="165">
        <f>J155+J154</f>
        <v>0</v>
      </c>
      <c r="K158" s="165"/>
      <c r="L158" s="165">
        <f>L155+L154</f>
        <v>0</v>
      </c>
      <c r="M158" s="165"/>
      <c r="N158" s="165">
        <f>N155+N154+N156+N157</f>
        <v>8623.23</v>
      </c>
      <c r="O158" s="121" t="s">
        <v>220</v>
      </c>
      <c r="P158" s="121"/>
      <c r="Q158" s="166"/>
      <c r="R158" s="121"/>
      <c r="S158" s="121"/>
    </row>
    <row r="159" spans="1:19" s="262" customFormat="1">
      <c r="A159" s="236" t="s">
        <v>267</v>
      </c>
      <c r="B159" s="245"/>
      <c r="C159" s="245"/>
      <c r="D159" s="212"/>
      <c r="E159" s="213"/>
      <c r="F159" s="212"/>
      <c r="G159" s="211"/>
      <c r="H159" s="212"/>
      <c r="I159" s="212"/>
      <c r="J159" s="212"/>
      <c r="K159" s="212"/>
      <c r="L159" s="212"/>
      <c r="M159" s="212"/>
      <c r="N159" s="212"/>
      <c r="O159" s="239"/>
      <c r="P159" s="240"/>
      <c r="Q159" s="167"/>
      <c r="R159" s="184"/>
      <c r="S159" s="240"/>
    </row>
    <row r="160" spans="1:19" s="262" customFormat="1">
      <c r="A160" s="168" t="s">
        <v>268</v>
      </c>
      <c r="B160" s="216" t="s">
        <v>269</v>
      </c>
      <c r="C160" s="205"/>
      <c r="D160" s="206"/>
      <c r="E160" s="207"/>
      <c r="F160" s="171"/>
      <c r="G160" s="217"/>
      <c r="H160" s="171"/>
      <c r="I160" s="171"/>
      <c r="J160" s="171"/>
      <c r="K160" s="171"/>
      <c r="L160" s="171"/>
      <c r="M160" s="171"/>
      <c r="N160" s="171"/>
      <c r="O160" s="11"/>
      <c r="P160" s="11"/>
      <c r="Q160" s="13"/>
      <c r="R160" s="208"/>
      <c r="S160" s="208"/>
    </row>
    <row r="161" spans="1:19" s="262" customFormat="1">
      <c r="A161" s="218" t="s">
        <v>270</v>
      </c>
      <c r="B161" s="154" t="s">
        <v>271</v>
      </c>
      <c r="C161" s="51" t="s">
        <v>32</v>
      </c>
      <c r="D161" s="30">
        <v>63.21</v>
      </c>
      <c r="E161" s="30">
        <v>2</v>
      </c>
      <c r="F161" s="30">
        <f>D161*E161</f>
        <v>126.42</v>
      </c>
      <c r="G161" s="106"/>
      <c r="H161" s="29"/>
      <c r="I161" s="30"/>
      <c r="J161" s="30"/>
      <c r="K161" s="30"/>
      <c r="L161" s="30"/>
      <c r="M161" s="40">
        <f t="shared" ref="M161:N163" si="38">E161</f>
        <v>2</v>
      </c>
      <c r="N161" s="30">
        <f t="shared" si="38"/>
        <v>126.42</v>
      </c>
      <c r="O161" s="183"/>
      <c r="P161" s="35"/>
      <c r="Q161" s="70"/>
      <c r="R161" s="100"/>
      <c r="S161" s="100"/>
    </row>
    <row r="162" spans="1:19" s="262" customFormat="1">
      <c r="A162" s="218" t="s">
        <v>272</v>
      </c>
      <c r="B162" s="154" t="s">
        <v>273</v>
      </c>
      <c r="C162" s="51" t="s">
        <v>32</v>
      </c>
      <c r="D162" s="30">
        <v>25.42</v>
      </c>
      <c r="E162" s="30">
        <v>1</v>
      </c>
      <c r="F162" s="30">
        <f t="shared" ref="F162:F163" si="39">D162*E162</f>
        <v>25.42</v>
      </c>
      <c r="G162" s="106"/>
      <c r="H162" s="29"/>
      <c r="I162" s="30"/>
      <c r="J162" s="30"/>
      <c r="K162" s="30"/>
      <c r="L162" s="30"/>
      <c r="M162" s="40">
        <f t="shared" si="38"/>
        <v>1</v>
      </c>
      <c r="N162" s="30">
        <f t="shared" si="38"/>
        <v>25.42</v>
      </c>
      <c r="O162" s="183"/>
      <c r="P162" s="35"/>
      <c r="Q162" s="70"/>
      <c r="R162" s="100"/>
      <c r="S162" s="100"/>
    </row>
    <row r="163" spans="1:19" s="262" customFormat="1">
      <c r="A163" s="218" t="s">
        <v>274</v>
      </c>
      <c r="B163" s="154" t="s">
        <v>275</v>
      </c>
      <c r="C163" s="51" t="s">
        <v>32</v>
      </c>
      <c r="D163" s="30">
        <v>16.399999999999999</v>
      </c>
      <c r="E163" s="30">
        <v>1</v>
      </c>
      <c r="F163" s="30">
        <f t="shared" si="39"/>
        <v>16.399999999999999</v>
      </c>
      <c r="G163" s="106"/>
      <c r="H163" s="29"/>
      <c r="I163" s="30"/>
      <c r="J163" s="30"/>
      <c r="K163" s="30"/>
      <c r="L163" s="30"/>
      <c r="M163" s="40">
        <f t="shared" si="38"/>
        <v>1</v>
      </c>
      <c r="N163" s="30">
        <f t="shared" si="38"/>
        <v>16.399999999999999</v>
      </c>
      <c r="O163" s="183"/>
      <c r="P163" s="35"/>
      <c r="Q163" s="70"/>
      <c r="R163" s="100"/>
      <c r="S163" s="100"/>
    </row>
    <row r="164" spans="1:19" s="262" customFormat="1">
      <c r="A164" s="218" t="s">
        <v>276</v>
      </c>
      <c r="B164" s="154" t="s">
        <v>277</v>
      </c>
      <c r="C164" s="51" t="s">
        <v>32</v>
      </c>
      <c r="D164" s="30">
        <v>120</v>
      </c>
      <c r="E164" s="30">
        <v>1</v>
      </c>
      <c r="F164" s="30">
        <f>D164*E164</f>
        <v>120</v>
      </c>
      <c r="G164" s="40">
        <f>E164</f>
        <v>1</v>
      </c>
      <c r="H164" s="30">
        <f>F164</f>
        <v>120</v>
      </c>
      <c r="I164" s="30"/>
      <c r="J164" s="30"/>
      <c r="K164" s="30"/>
      <c r="L164" s="30"/>
      <c r="M164" s="30"/>
      <c r="N164" s="30"/>
      <c r="O164" s="183"/>
      <c r="P164" s="35"/>
      <c r="Q164" s="70"/>
      <c r="R164" s="100"/>
      <c r="S164" s="100"/>
    </row>
    <row r="165" spans="1:19" s="262" customFormat="1" ht="52.5">
      <c r="A165" s="218" t="s">
        <v>278</v>
      </c>
      <c r="B165" s="235" t="s">
        <v>279</v>
      </c>
      <c r="C165" s="51" t="s">
        <v>32</v>
      </c>
      <c r="D165" s="30">
        <v>42.97</v>
      </c>
      <c r="E165" s="30">
        <v>2</v>
      </c>
      <c r="F165" s="30">
        <f t="shared" ref="F165:F166" si="40">E165*D165</f>
        <v>85.94</v>
      </c>
      <c r="G165" s="106"/>
      <c r="H165" s="29"/>
      <c r="I165" s="30"/>
      <c r="J165" s="30"/>
      <c r="K165" s="30"/>
      <c r="L165" s="30"/>
      <c r="M165" s="40">
        <f>E165</f>
        <v>2</v>
      </c>
      <c r="N165" s="30">
        <f>F165</f>
        <v>85.94</v>
      </c>
      <c r="O165" s="183"/>
      <c r="P165" s="35"/>
      <c r="Q165" s="70"/>
      <c r="R165" s="100"/>
      <c r="S165" s="100"/>
    </row>
    <row r="166" spans="1:19" s="262" customFormat="1">
      <c r="A166" s="218" t="s">
        <v>280</v>
      </c>
      <c r="B166" s="235" t="s">
        <v>281</v>
      </c>
      <c r="C166" s="51" t="s">
        <v>32</v>
      </c>
      <c r="D166" s="30">
        <v>25</v>
      </c>
      <c r="E166" s="30">
        <v>1</v>
      </c>
      <c r="F166" s="30">
        <f t="shared" si="40"/>
        <v>25</v>
      </c>
      <c r="G166" s="106"/>
      <c r="H166" s="29"/>
      <c r="I166" s="30"/>
      <c r="J166" s="30"/>
      <c r="K166" s="30"/>
      <c r="L166" s="30"/>
      <c r="M166" s="40">
        <f>E166</f>
        <v>1</v>
      </c>
      <c r="N166" s="30">
        <f>F166</f>
        <v>25</v>
      </c>
      <c r="O166" s="183"/>
      <c r="P166" s="35"/>
      <c r="Q166" s="70"/>
      <c r="R166" s="100"/>
      <c r="S166" s="100"/>
    </row>
    <row r="167" spans="1:19" s="262" customFormat="1" ht="54.75" customHeight="1">
      <c r="A167" s="254" t="s">
        <v>282</v>
      </c>
      <c r="B167" s="255"/>
      <c r="C167" s="255"/>
      <c r="D167" s="256"/>
      <c r="E167" s="257"/>
      <c r="F167" s="165">
        <f>SUM(F161:F166)</f>
        <v>399.18</v>
      </c>
      <c r="G167" s="165"/>
      <c r="H167" s="165">
        <f>H164+H163+H162+H161</f>
        <v>120</v>
      </c>
      <c r="I167" s="165"/>
      <c r="J167" s="165">
        <f>J164+J163+J162+J161</f>
        <v>0</v>
      </c>
      <c r="K167" s="165"/>
      <c r="L167" s="165">
        <f>L164+L163+L162+L161</f>
        <v>0</v>
      </c>
      <c r="M167" s="165"/>
      <c r="N167" s="165">
        <f>N164+N163+N162+N161+N165+N166</f>
        <v>279.18</v>
      </c>
      <c r="O167" s="121" t="s">
        <v>220</v>
      </c>
      <c r="P167" s="219"/>
      <c r="Q167" s="166"/>
      <c r="R167" s="121"/>
      <c r="S167" s="121"/>
    </row>
    <row r="168" spans="1:19" s="262" customFormat="1">
      <c r="A168" s="254" t="s">
        <v>283</v>
      </c>
      <c r="B168" s="255"/>
      <c r="C168" s="255"/>
      <c r="D168" s="256"/>
      <c r="E168" s="257"/>
      <c r="F168" s="165">
        <f>F167+F158+F152+F148+F132+F126+F111</f>
        <v>70325.996944700004</v>
      </c>
      <c r="G168" s="165"/>
      <c r="H168" s="165">
        <f>H167+H158+H152+H148+H132+H126+H111</f>
        <v>14065.199390000002</v>
      </c>
      <c r="I168" s="165"/>
      <c r="J168" s="165">
        <f>J167+J158+J152+J148+J132+J126+J111</f>
        <v>9928.4142382000009</v>
      </c>
      <c r="K168" s="165"/>
      <c r="L168" s="165">
        <f>L167+L158+L152+L148+L132+L126+L111</f>
        <v>17581.499235499999</v>
      </c>
      <c r="M168" s="165"/>
      <c r="N168" s="165">
        <f>N167+N158+N152+N148+N132+N126+N111</f>
        <v>28750.884081000004</v>
      </c>
      <c r="O168" s="121"/>
      <c r="P168" s="121"/>
      <c r="Q168" s="166"/>
      <c r="R168" s="121"/>
      <c r="S168" s="121"/>
    </row>
    <row r="169" spans="1:19" s="262" customFormat="1" ht="18" customHeight="1">
      <c r="A169" s="268"/>
      <c r="B169" s="269"/>
      <c r="C169" s="270"/>
      <c r="D169" s="271"/>
      <c r="E169" s="272"/>
      <c r="F169" s="273"/>
      <c r="G169" s="274"/>
      <c r="H169" s="275"/>
      <c r="I169" s="276"/>
      <c r="J169" s="275"/>
      <c r="K169" s="276"/>
      <c r="L169" s="275"/>
      <c r="M169" s="276"/>
      <c r="N169" s="275"/>
      <c r="O169" s="264"/>
      <c r="P169" s="264"/>
      <c r="R169" s="264"/>
      <c r="S169" s="264"/>
    </row>
    <row r="170" spans="1:19" s="262" customFormat="1" ht="22.5" customHeight="1">
      <c r="A170" s="277"/>
      <c r="C170" s="278"/>
      <c r="D170" s="279"/>
      <c r="E170" s="280"/>
      <c r="F170" s="281"/>
      <c r="G170" s="282"/>
      <c r="H170" s="283"/>
      <c r="I170" s="283"/>
      <c r="J170" s="283"/>
      <c r="K170" s="283"/>
      <c r="L170" s="283"/>
      <c r="M170" s="283"/>
      <c r="N170" s="283"/>
    </row>
    <row r="171" spans="1:19" s="262" customFormat="1" ht="32.25" customHeight="1">
      <c r="A171" s="284" t="s">
        <v>284</v>
      </c>
      <c r="B171" s="285"/>
      <c r="C171" s="286"/>
      <c r="D171" s="287"/>
      <c r="E171" s="288"/>
      <c r="F171" s="289"/>
      <c r="G171" s="290"/>
      <c r="H171" s="290"/>
      <c r="I171" s="290"/>
      <c r="J171" s="290"/>
      <c r="K171" s="290"/>
      <c r="L171" s="290"/>
      <c r="M171" s="290"/>
      <c r="N171" s="290"/>
      <c r="P171" s="285"/>
      <c r="Q171" s="291"/>
      <c r="R171" s="285"/>
      <c r="S171" s="285"/>
    </row>
    <row r="172" spans="1:19" s="262" customFormat="1">
      <c r="A172" s="277"/>
      <c r="C172" s="278"/>
      <c r="D172" s="279"/>
      <c r="F172" s="292"/>
      <c r="G172" s="282"/>
      <c r="H172" s="283"/>
      <c r="I172" s="283"/>
      <c r="J172" s="283"/>
      <c r="K172" s="283"/>
      <c r="L172" s="283"/>
      <c r="M172" s="283"/>
      <c r="N172" s="283"/>
    </row>
    <row r="173" spans="1:19" s="265" customFormat="1">
      <c r="A173" s="293"/>
      <c r="B173" s="294" t="s">
        <v>285</v>
      </c>
      <c r="C173" s="278"/>
      <c r="D173" s="282"/>
      <c r="E173" s="278"/>
      <c r="F173" s="282"/>
      <c r="G173" s="295"/>
      <c r="H173" s="282"/>
      <c r="I173" s="290"/>
      <c r="J173" s="296" t="s">
        <v>286</v>
      </c>
      <c r="K173" s="290"/>
      <c r="L173" s="282"/>
      <c r="M173" s="282"/>
      <c r="N173" s="290"/>
      <c r="O173" s="278"/>
      <c r="P173" s="297"/>
      <c r="Q173" s="297"/>
      <c r="R173" s="297"/>
      <c r="S173" s="297"/>
    </row>
    <row r="174" spans="1:19" s="265" customFormat="1">
      <c r="A174" s="298"/>
      <c r="B174" s="299" t="s">
        <v>287</v>
      </c>
      <c r="C174" s="278"/>
      <c r="D174" s="282"/>
      <c r="E174" s="278"/>
      <c r="F174" s="282"/>
      <c r="G174" s="295"/>
      <c r="H174" s="282"/>
      <c r="I174" s="290"/>
      <c r="J174" s="290" t="s">
        <v>288</v>
      </c>
      <c r="K174" s="290"/>
      <c r="L174" s="282"/>
      <c r="M174" s="282"/>
      <c r="N174" s="290"/>
      <c r="O174" s="278"/>
      <c r="P174" s="297"/>
      <c r="Q174" s="297"/>
      <c r="R174" s="297"/>
      <c r="S174" s="297"/>
    </row>
    <row r="175" spans="1:19" s="265" customFormat="1">
      <c r="A175" s="300"/>
      <c r="B175" s="299"/>
      <c r="C175" s="278"/>
      <c r="D175" s="282"/>
      <c r="E175" s="278"/>
      <c r="F175" s="282"/>
      <c r="G175" s="295"/>
      <c r="H175" s="282"/>
      <c r="I175" s="282"/>
      <c r="J175" s="282"/>
      <c r="K175" s="282"/>
      <c r="L175" s="282"/>
      <c r="M175" s="282"/>
      <c r="N175" s="282"/>
      <c r="O175" s="278"/>
      <c r="P175" s="297"/>
      <c r="Q175" s="297"/>
      <c r="R175" s="297"/>
      <c r="S175" s="297"/>
    </row>
    <row r="176" spans="1:19" s="265" customFormat="1">
      <c r="A176" s="300"/>
      <c r="B176" s="301" t="s">
        <v>290</v>
      </c>
      <c r="C176" s="278"/>
      <c r="D176" s="290"/>
      <c r="E176" s="299"/>
      <c r="F176" s="312" t="s">
        <v>289</v>
      </c>
      <c r="G176" s="312"/>
      <c r="H176" s="282"/>
      <c r="I176" s="282"/>
      <c r="J176" s="282"/>
      <c r="K176" s="282"/>
      <c r="L176" s="282"/>
      <c r="M176" s="282"/>
      <c r="N176" s="282"/>
      <c r="O176" s="278"/>
      <c r="P176" s="297"/>
      <c r="Q176" s="297"/>
      <c r="R176" s="297"/>
      <c r="S176" s="297"/>
    </row>
    <row r="177" spans="1:19" s="266" customFormat="1">
      <c r="A177" s="302"/>
      <c r="B177" s="303"/>
      <c r="C177" s="278"/>
      <c r="D177" s="279"/>
      <c r="E177" s="285"/>
      <c r="F177" s="287"/>
      <c r="G177" s="304"/>
      <c r="H177" s="290"/>
      <c r="I177" s="290"/>
      <c r="J177" s="290"/>
      <c r="K177" s="290"/>
      <c r="L177" s="290"/>
      <c r="M177" s="290"/>
      <c r="N177" s="290"/>
      <c r="O177" s="262"/>
      <c r="P177" s="285"/>
      <c r="Q177" s="291"/>
      <c r="R177" s="285"/>
      <c r="S177" s="285"/>
    </row>
    <row r="178" spans="1:19" s="267" customFormat="1">
      <c r="A178" s="284"/>
      <c r="C178" s="278"/>
      <c r="D178" s="305"/>
      <c r="F178" s="306"/>
      <c r="G178" s="304"/>
      <c r="H178" s="290"/>
      <c r="I178" s="290"/>
      <c r="J178" s="290"/>
      <c r="K178" s="290"/>
      <c r="L178" s="290"/>
      <c r="M178" s="290"/>
      <c r="N178" s="290"/>
      <c r="O178" s="307"/>
      <c r="Q178" s="308"/>
    </row>
    <row r="179" spans="1:19">
      <c r="A179" s="277"/>
      <c r="B179" s="261"/>
      <c r="C179" s="278"/>
      <c r="D179" s="309"/>
      <c r="E179" s="261"/>
      <c r="F179" s="309"/>
      <c r="G179" s="295"/>
      <c r="H179" s="282"/>
      <c r="I179" s="282"/>
      <c r="J179" s="282"/>
      <c r="K179" s="282"/>
      <c r="L179" s="282"/>
      <c r="M179" s="282"/>
      <c r="N179" s="282"/>
      <c r="O179" s="261"/>
      <c r="P179" s="261"/>
      <c r="Q179" s="261"/>
      <c r="R179" s="261"/>
      <c r="S179" s="261"/>
    </row>
    <row r="180" spans="1:19">
      <c r="A180" s="277"/>
      <c r="B180" s="261"/>
      <c r="C180" s="278"/>
      <c r="D180" s="309"/>
      <c r="E180" s="261"/>
      <c r="F180" s="309"/>
      <c r="G180" s="295"/>
      <c r="H180" s="282"/>
      <c r="I180" s="282"/>
      <c r="J180" s="282"/>
      <c r="K180" s="282"/>
      <c r="L180" s="282"/>
      <c r="M180" s="282"/>
      <c r="N180" s="282"/>
      <c r="O180" s="261"/>
      <c r="P180" s="261"/>
      <c r="Q180" s="261"/>
      <c r="R180" s="261"/>
      <c r="S180" s="261"/>
    </row>
    <row r="181" spans="1:19">
      <c r="A181" s="277"/>
      <c r="B181" s="261"/>
      <c r="C181" s="278"/>
      <c r="D181" s="309"/>
      <c r="E181" s="261"/>
      <c r="F181" s="309"/>
      <c r="G181" s="295"/>
      <c r="H181" s="282"/>
      <c r="I181" s="282"/>
      <c r="J181" s="282"/>
      <c r="K181" s="282"/>
      <c r="L181" s="282"/>
      <c r="M181" s="282"/>
      <c r="N181" s="282"/>
      <c r="O181" s="261"/>
      <c r="P181" s="261"/>
      <c r="Q181" s="261"/>
      <c r="R181" s="261"/>
      <c r="S181" s="261"/>
    </row>
    <row r="182" spans="1:19">
      <c r="A182" s="277"/>
      <c r="B182" s="261"/>
      <c r="C182" s="278"/>
      <c r="D182" s="309"/>
      <c r="E182" s="261"/>
      <c r="F182" s="309"/>
      <c r="G182" s="295"/>
      <c r="H182" s="282"/>
      <c r="I182" s="282"/>
      <c r="J182" s="282"/>
      <c r="K182" s="282"/>
      <c r="L182" s="282"/>
      <c r="M182" s="282"/>
      <c r="N182" s="282"/>
      <c r="O182" s="261"/>
      <c r="P182" s="261"/>
      <c r="Q182" s="261"/>
      <c r="R182" s="261"/>
      <c r="S182" s="261"/>
    </row>
    <row r="183" spans="1:19">
      <c r="A183" s="277"/>
      <c r="B183" s="261"/>
      <c r="C183" s="278"/>
      <c r="D183" s="309"/>
      <c r="E183" s="261"/>
      <c r="F183" s="309"/>
      <c r="G183" s="295"/>
      <c r="H183" s="282"/>
      <c r="I183" s="282"/>
      <c r="J183" s="282"/>
      <c r="K183" s="282"/>
      <c r="L183" s="282"/>
      <c r="M183" s="282"/>
      <c r="N183" s="282"/>
      <c r="O183" s="261"/>
      <c r="P183" s="261"/>
      <c r="Q183" s="261"/>
      <c r="R183" s="261"/>
      <c r="S183" s="261"/>
    </row>
  </sheetData>
  <sheetProtection insertRows="0" deleteRows="0"/>
  <mergeCells count="21">
    <mergeCell ref="A1:S1"/>
    <mergeCell ref="A2:A4"/>
    <mergeCell ref="B2:B4"/>
    <mergeCell ref="C2:C4"/>
    <mergeCell ref="D2:F2"/>
    <mergeCell ref="G2:N2"/>
    <mergeCell ref="O2:O4"/>
    <mergeCell ref="P2:P4"/>
    <mergeCell ref="Q2:Q4"/>
    <mergeCell ref="R2:R4"/>
    <mergeCell ref="O142:P142"/>
    <mergeCell ref="O152:P152"/>
    <mergeCell ref="F176:G176"/>
    <mergeCell ref="S2:S4"/>
    <mergeCell ref="D3:D4"/>
    <mergeCell ref="E3:E4"/>
    <mergeCell ref="F3:F4"/>
    <mergeCell ref="G3:H3"/>
    <mergeCell ref="I3:J3"/>
    <mergeCell ref="K3:L3"/>
    <mergeCell ref="M3:N3"/>
  </mergeCells>
  <phoneticPr fontId="33" type="noConversion"/>
  <pageMargins left="3.937007874015748E-2" right="3.937007874015748E-2" top="0.35433070866141736" bottom="0.15748031496062992" header="0.11811023622047245" footer="0.51181102362204722"/>
  <pageSetup paperSize="9" scale="3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6. закупівля</vt:lpstr>
      <vt:lpstr>'6. закупівля'!Область_печати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</cp:lastModifiedBy>
  <cp:lastPrinted>2021-12-09T06:30:22Z</cp:lastPrinted>
  <dcterms:created xsi:type="dcterms:W3CDTF">2021-11-16T14:11:50Z</dcterms:created>
  <dcterms:modified xsi:type="dcterms:W3CDTF">2021-12-09T06:33:13Z</dcterms:modified>
</cp:coreProperties>
</file>